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ink/ink1.xml" ContentType="application/inkml+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omments8.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dean\Documents\"/>
    </mc:Choice>
  </mc:AlternateContent>
  <xr:revisionPtr revIDLastSave="0" documentId="13_ncr:1_{59F5370A-9834-4D66-A59C-407F8B2B5A62}" xr6:coauthVersionLast="47" xr6:coauthVersionMax="47" xr10:uidLastSave="{00000000-0000-0000-0000-000000000000}"/>
  <bookViews>
    <workbookView xWindow="-120" yWindow="-120" windowWidth="38640" windowHeight="21240" xr2:uid="{7D2B4BCF-273F-486A-9FE4-15B4526EBCBA}"/>
  </bookViews>
  <sheets>
    <sheet name="Model Empty" sheetId="1" r:id="rId1"/>
    <sheet name="Balance Sheet" sheetId="16" r:id="rId2"/>
    <sheet name="Sources_Uses Empty" sheetId="2" r:id="rId3"/>
    <sheet name="Pro Forma Cap Table" sheetId="3" r:id="rId4"/>
    <sheet name="Financials " sheetId="5" state="hidden" r:id="rId5"/>
    <sheet name="Simple DCF Empty" sheetId="6" r:id="rId6"/>
    <sheet name="Simple DCF Done" sheetId="7" r:id="rId7"/>
    <sheet name="WACC Empty" sheetId="8" r:id="rId8"/>
    <sheet name="WACC Done" sheetId="9" r:id="rId9"/>
    <sheet name="DCF 1-Pager" sheetId="12" r:id="rId10"/>
    <sheet name="2019 FSM Update Complete" sheetId="13" state="hidden" r:id="rId11"/>
    <sheet name="Integrated DCF Empty" sheetId="14" r:id="rId12"/>
    <sheet name="Integrated DCF" sheetId="15" r:id="rId13"/>
  </sheets>
  <externalReferences>
    <externalReference r:id="rId14"/>
  </externalReferences>
  <definedNames>
    <definedName name="CIQWBGuid" localSheetId="9" hidden="1">"DCF_complete.xlsx"</definedName>
    <definedName name="CIQWBGuid" localSheetId="12" hidden="1">"DCF_complete.xlsx"</definedName>
    <definedName name="CIQWBGuid" localSheetId="11" hidden="1">"DCF_complete.xlsx"</definedName>
    <definedName name="CIQWBGuid" localSheetId="6" hidden="1">"DCF_complete.xlsx"</definedName>
    <definedName name="CIQWBGuid" localSheetId="5" hidden="1">"DCF_complete.xlsx"</definedName>
    <definedName name="CIQWBGuid" localSheetId="8" hidden="1">"DCF_complete.xlsx"</definedName>
    <definedName name="CIQWBGuid" localSheetId="7" hidden="1">"DCF_complete.xlsx"</definedName>
    <definedName name="CIQWBGuid" hidden="1">"4a3c97b9-c4f1-494f-ac43-7d4605415d57"</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9" hidden="1">43549.6880671296</definedName>
    <definedName name="IQ_NAMES_REVISION_DATE_" localSheetId="12" hidden="1">43549.6880671296</definedName>
    <definedName name="IQ_NAMES_REVISION_DATE_" localSheetId="11" hidden="1">43549.6880671296</definedName>
    <definedName name="IQ_NAMES_REVISION_DATE_" localSheetId="6" hidden="1">43549.6880671296</definedName>
    <definedName name="IQ_NAMES_REVISION_DATE_" localSheetId="5" hidden="1">43549.6880671296</definedName>
    <definedName name="IQ_NAMES_REVISION_DATE_" localSheetId="8" hidden="1">43549.6880671296</definedName>
    <definedName name="IQ_NAMES_REVISION_DATE_" localSheetId="7" hidden="1">43549.6880671296</definedName>
    <definedName name="IQ_NAMES_REVISION_DATE_" hidden="1">43588.5561574074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LNK841c85bef3244d5c8fb6b3f84988d79e" localSheetId="9" hidden="1">#REF!</definedName>
    <definedName name="MLNK841c85bef3244d5c8fb6b3f84988d79e" localSheetId="12" hidden="1">#REF!</definedName>
    <definedName name="MLNK841c85bef3244d5c8fb6b3f84988d79e" localSheetId="11" hidden="1">#REF!</definedName>
    <definedName name="MLNK841c85bef3244d5c8fb6b3f84988d79e" localSheetId="6" hidden="1">#REF!</definedName>
    <definedName name="MLNK841c85bef3244d5c8fb6b3f84988d79e" localSheetId="5" hidden="1">#REF!</definedName>
    <definedName name="MLNK841c85bef3244d5c8fb6b3f84988d79e" localSheetId="8" hidden="1">#REF!</definedName>
    <definedName name="MLNK841c85bef3244d5c8fb6b3f84988d79e" localSheetId="7" hidden="1">#REF!</definedName>
    <definedName name="MLNK841c85bef3244d5c8fb6b3f84988d79e" hidden="1">#REF!</definedName>
    <definedName name="MLNKa7775792bf444a4785f8ed5c82461a24" localSheetId="9" hidden="1">#REF!</definedName>
    <definedName name="MLNKa7775792bf444a4785f8ed5c82461a24" localSheetId="12" hidden="1">#REF!</definedName>
    <definedName name="MLNKa7775792bf444a4785f8ed5c82461a24" localSheetId="11" hidden="1">#REF!</definedName>
    <definedName name="MLNKa7775792bf444a4785f8ed5c82461a24" localSheetId="6" hidden="1">#REF!</definedName>
    <definedName name="MLNKa7775792bf444a4785f8ed5c82461a24" localSheetId="5" hidden="1">#REF!</definedName>
    <definedName name="MLNKa7775792bf444a4785f8ed5c82461a24" localSheetId="8" hidden="1">#REF!</definedName>
    <definedName name="MLNKa7775792bf444a4785f8ed5c82461a24" localSheetId="7" hidden="1">#REF!</definedName>
    <definedName name="MLNKa7775792bf444a4785f8ed5c82461a24" hidden="1">#REF!</definedName>
    <definedName name="_xlnm.Print_Area" localSheetId="10">'2019 FSM Update Complete'!$C$2:$T$156</definedName>
    <definedName name="_xlnm.Print_Area" localSheetId="1">'Balance Sheet'!$A$1:$N$78</definedName>
    <definedName name="_xlnm.Print_Area" localSheetId="0">'Model Empty'!$A$1:$M$113</definedName>
    <definedName name="_xlnm.Print_Area" localSheetId="2">'Sources_Uses Empty'!$A$1:$G$20</definedName>
  </definedNames>
  <calcPr calcId="191029" calcMode="autoNoTable"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4" l="1"/>
  <c r="H4" i="15"/>
  <c r="H4" i="12"/>
  <c r="C72" i="16"/>
  <c r="D70" i="16" s="1"/>
  <c r="D72" i="16" s="1"/>
  <c r="E70" i="16" s="1"/>
  <c r="E72" i="16" s="1"/>
  <c r="F70" i="16" s="1"/>
  <c r="F72" i="16" s="1"/>
  <c r="H70" i="16" s="1"/>
  <c r="H72" i="16" s="1"/>
  <c r="I70" i="16" s="1"/>
  <c r="I72" i="16" s="1"/>
  <c r="J70" i="16" s="1"/>
  <c r="J72" i="16" s="1"/>
  <c r="K70" i="16" s="1"/>
  <c r="K72" i="16" s="1"/>
  <c r="L70" i="16" s="1"/>
  <c r="L72" i="16" s="1"/>
  <c r="M70" i="16" s="1"/>
  <c r="M72" i="16" s="1"/>
  <c r="C65" i="16"/>
  <c r="D63" i="16" s="1"/>
  <c r="D65" i="16" s="1"/>
  <c r="E63" i="16" s="1"/>
  <c r="E65" i="16" s="1"/>
  <c r="F63" i="16" s="1"/>
  <c r="F65" i="16" s="1"/>
  <c r="H63" i="16" s="1"/>
  <c r="H65" i="16" s="1"/>
  <c r="I63" i="16" s="1"/>
  <c r="I65" i="16" s="1"/>
  <c r="J63" i="16" s="1"/>
  <c r="J65" i="16" s="1"/>
  <c r="K63" i="16" s="1"/>
  <c r="K65" i="16" s="1"/>
  <c r="L63" i="16" s="1"/>
  <c r="L65" i="16" s="1"/>
  <c r="M63" i="16" s="1"/>
  <c r="M65" i="16" s="1"/>
  <c r="M60" i="16"/>
  <c r="L60" i="16"/>
  <c r="K60" i="16"/>
  <c r="J60" i="16"/>
  <c r="I60" i="16"/>
  <c r="H60" i="16"/>
  <c r="F60" i="16"/>
  <c r="E60" i="16"/>
  <c r="D60" i="16"/>
  <c r="C60" i="16"/>
  <c r="C57" i="16"/>
  <c r="D55" i="16" s="1"/>
  <c r="D57" i="16" s="1"/>
  <c r="E55" i="16" s="1"/>
  <c r="E57" i="16" s="1"/>
  <c r="F55" i="16" s="1"/>
  <c r="F57" i="16" s="1"/>
  <c r="H55" i="16" s="1"/>
  <c r="H57" i="16" s="1"/>
  <c r="I55" i="16" s="1"/>
  <c r="I57" i="16" s="1"/>
  <c r="J55" i="16" s="1"/>
  <c r="J57" i="16" s="1"/>
  <c r="K55" i="16" s="1"/>
  <c r="K57" i="16" s="1"/>
  <c r="L55" i="16" s="1"/>
  <c r="L57" i="16" s="1"/>
  <c r="M55" i="16" s="1"/>
  <c r="M57" i="16" s="1"/>
  <c r="M45" i="16"/>
  <c r="L45" i="16"/>
  <c r="K45" i="16"/>
  <c r="J45" i="16"/>
  <c r="I45" i="16"/>
  <c r="H45" i="16"/>
  <c r="F45" i="16"/>
  <c r="E45" i="16"/>
  <c r="D45" i="16"/>
  <c r="C45" i="16"/>
  <c r="C50" i="16"/>
  <c r="D48" i="16" s="1"/>
  <c r="D50" i="16" s="1"/>
  <c r="E48" i="16" s="1"/>
  <c r="E50" i="16" s="1"/>
  <c r="F48" i="16" s="1"/>
  <c r="F50" i="16" s="1"/>
  <c r="H48" i="16" s="1"/>
  <c r="H50" i="16" s="1"/>
  <c r="I48" i="16" s="1"/>
  <c r="I50" i="16" s="1"/>
  <c r="J48" i="16" s="1"/>
  <c r="J50" i="16" s="1"/>
  <c r="K48" i="16" s="1"/>
  <c r="K50" i="16" s="1"/>
  <c r="L48" i="16" s="1"/>
  <c r="L50" i="16" s="1"/>
  <c r="M48" i="16" s="1"/>
  <c r="M50" i="16" s="1"/>
  <c r="C42" i="16"/>
  <c r="D40" i="16" s="1"/>
  <c r="D42" i="16" s="1"/>
  <c r="E40" i="16" s="1"/>
  <c r="E42" i="16" s="1"/>
  <c r="F40" i="16" s="1"/>
  <c r="F42" i="16" s="1"/>
  <c r="H40" i="16" s="1"/>
  <c r="H42" i="16" s="1"/>
  <c r="I40" i="16" s="1"/>
  <c r="I42" i="16" s="1"/>
  <c r="J40" i="16" s="1"/>
  <c r="J42" i="16" s="1"/>
  <c r="K40" i="16" s="1"/>
  <c r="K42" i="16" s="1"/>
  <c r="L40" i="16" s="1"/>
  <c r="L42" i="16" s="1"/>
  <c r="M40" i="16" s="1"/>
  <c r="M42" i="16" s="1"/>
  <c r="M35" i="16"/>
  <c r="L35" i="16"/>
  <c r="K35" i="16"/>
  <c r="J35" i="16"/>
  <c r="I35" i="16"/>
  <c r="E35" i="16"/>
  <c r="D35" i="16"/>
  <c r="C35" i="16"/>
  <c r="H23" i="16"/>
  <c r="H33" i="16" s="1"/>
  <c r="G23" i="16"/>
  <c r="F23" i="16"/>
  <c r="F33" i="16" s="1"/>
  <c r="H10" i="16"/>
  <c r="H14" i="16" s="1"/>
  <c r="G10" i="16"/>
  <c r="G14" i="16" s="1"/>
  <c r="G33" i="16"/>
  <c r="F10" i="16"/>
  <c r="F14" i="16" s="1"/>
  <c r="F35" i="16" s="1"/>
  <c r="C9" i="2"/>
  <c r="C11" i="9"/>
  <c r="Q130" i="15"/>
  <c r="O130" i="15"/>
  <c r="D130" i="15"/>
  <c r="Q129" i="15"/>
  <c r="O129" i="15"/>
  <c r="G129" i="15"/>
  <c r="E129" i="15"/>
  <c r="C129" i="15"/>
  <c r="B129" i="15"/>
  <c r="Q128" i="15"/>
  <c r="O128" i="15"/>
  <c r="G128" i="15"/>
  <c r="E128" i="15"/>
  <c r="C128" i="15"/>
  <c r="B128" i="15"/>
  <c r="L104" i="15"/>
  <c r="D104" i="15"/>
  <c r="L103" i="15"/>
  <c r="D103" i="15"/>
  <c r="L101" i="15"/>
  <c r="D101" i="15"/>
  <c r="L100" i="15"/>
  <c r="G130" i="15" s="1"/>
  <c r="D100" i="15"/>
  <c r="Q99" i="15"/>
  <c r="P99" i="15"/>
  <c r="N99" i="15"/>
  <c r="M99" i="15"/>
  <c r="I99" i="15"/>
  <c r="H99" i="15"/>
  <c r="F99" i="15"/>
  <c r="E99" i="15"/>
  <c r="L95" i="15"/>
  <c r="D95" i="15"/>
  <c r="L94" i="15"/>
  <c r="D94" i="15"/>
  <c r="L92" i="15"/>
  <c r="D92" i="15"/>
  <c r="L91" i="15"/>
  <c r="D91" i="15"/>
  <c r="Q90" i="15"/>
  <c r="P90" i="15"/>
  <c r="N90" i="15"/>
  <c r="M90" i="15"/>
  <c r="I90" i="15"/>
  <c r="H90" i="15"/>
  <c r="F90" i="15"/>
  <c r="E90" i="15"/>
  <c r="C62" i="15"/>
  <c r="C57" i="15"/>
  <c r="C55" i="15"/>
  <c r="C38" i="15"/>
  <c r="E37" i="15"/>
  <c r="D37" i="15"/>
  <c r="B35" i="15"/>
  <c r="F27" i="15"/>
  <c r="E27" i="15"/>
  <c r="D25" i="15"/>
  <c r="D14" i="15"/>
  <c r="F12" i="15"/>
  <c r="F37" i="15" s="1"/>
  <c r="E12" i="15"/>
  <c r="D12" i="15"/>
  <c r="C12" i="15"/>
  <c r="H9" i="15"/>
  <c r="D8" i="15"/>
  <c r="D5" i="15"/>
  <c r="B3" i="15"/>
  <c r="Q130" i="14"/>
  <c r="O130" i="14"/>
  <c r="D130" i="14"/>
  <c r="Q129" i="14"/>
  <c r="O129" i="14"/>
  <c r="G129" i="14"/>
  <c r="E129" i="14"/>
  <c r="C129" i="14"/>
  <c r="B129" i="14"/>
  <c r="Q128" i="14"/>
  <c r="O128" i="14"/>
  <c r="E128" i="14"/>
  <c r="C128" i="14"/>
  <c r="L104" i="14"/>
  <c r="L103" i="14"/>
  <c r="D103" i="14"/>
  <c r="D104" i="14" s="1"/>
  <c r="L101" i="14"/>
  <c r="D101" i="14"/>
  <c r="L100" i="14"/>
  <c r="G130" i="14" s="1"/>
  <c r="D100" i="14"/>
  <c r="Q99" i="14"/>
  <c r="P99" i="14"/>
  <c r="N99" i="14"/>
  <c r="M99" i="14"/>
  <c r="I99" i="14"/>
  <c r="H99" i="14"/>
  <c r="F99" i="14"/>
  <c r="E99" i="14" s="1"/>
  <c r="B128" i="14" s="1"/>
  <c r="L95" i="14"/>
  <c r="D95" i="14"/>
  <c r="L94" i="14"/>
  <c r="D94" i="14"/>
  <c r="L92" i="14"/>
  <c r="D92" i="14"/>
  <c r="D91" i="14" s="1"/>
  <c r="L91" i="14"/>
  <c r="P90" i="14"/>
  <c r="Q90" i="14" s="1"/>
  <c r="G128" i="14" s="1"/>
  <c r="N90" i="14"/>
  <c r="M90" i="14"/>
  <c r="I90" i="14"/>
  <c r="H90" i="14"/>
  <c r="F90" i="14"/>
  <c r="E90" i="14"/>
  <c r="C62" i="14"/>
  <c r="C57" i="14"/>
  <c r="C55" i="14"/>
  <c r="I44" i="14"/>
  <c r="C43" i="14"/>
  <c r="I42" i="14"/>
  <c r="I38" i="14"/>
  <c r="H38" i="14"/>
  <c r="G38" i="14"/>
  <c r="F38" i="14"/>
  <c r="E37" i="14"/>
  <c r="D37" i="14"/>
  <c r="B35" i="14"/>
  <c r="G12" i="14"/>
  <c r="E12" i="14"/>
  <c r="F12" i="14" s="1"/>
  <c r="F37" i="14" s="1"/>
  <c r="D12" i="14"/>
  <c r="C12" i="14"/>
  <c r="H9" i="14"/>
  <c r="D8" i="14"/>
  <c r="C38" i="14" s="1"/>
  <c r="E38" i="14" s="1"/>
  <c r="D5" i="14"/>
  <c r="B3" i="14"/>
  <c r="L203" i="13"/>
  <c r="K203" i="13"/>
  <c r="J203" i="13"/>
  <c r="I203" i="13"/>
  <c r="H203" i="13"/>
  <c r="L201" i="13"/>
  <c r="K201" i="13"/>
  <c r="J201" i="13"/>
  <c r="I201" i="13"/>
  <c r="H201" i="13"/>
  <c r="L199" i="13"/>
  <c r="K199" i="13"/>
  <c r="J199" i="13"/>
  <c r="I199" i="13"/>
  <c r="H199" i="13"/>
  <c r="L197" i="13"/>
  <c r="K197" i="13"/>
  <c r="J197" i="13"/>
  <c r="I197" i="13"/>
  <c r="H197" i="13"/>
  <c r="L195" i="13"/>
  <c r="K195" i="13"/>
  <c r="J195" i="13"/>
  <c r="I195" i="13"/>
  <c r="H195" i="13"/>
  <c r="L193" i="13"/>
  <c r="K193" i="13"/>
  <c r="J193" i="13"/>
  <c r="I193" i="13"/>
  <c r="H193" i="13"/>
  <c r="J191" i="13"/>
  <c r="I191" i="13"/>
  <c r="H191" i="13"/>
  <c r="K190" i="13"/>
  <c r="K191" i="13" s="1"/>
  <c r="J190" i="13"/>
  <c r="J189" i="13"/>
  <c r="I189" i="13"/>
  <c r="H189" i="13"/>
  <c r="L186" i="13"/>
  <c r="L39" i="13" s="1"/>
  <c r="K186" i="13"/>
  <c r="K39" i="13" s="1"/>
  <c r="J186" i="13"/>
  <c r="J39" i="13" s="1"/>
  <c r="I186" i="13"/>
  <c r="I39" i="13" s="1"/>
  <c r="H186" i="13"/>
  <c r="H39" i="13" s="1"/>
  <c r="G186" i="13"/>
  <c r="L185" i="13"/>
  <c r="L38" i="13" s="1"/>
  <c r="K185" i="13"/>
  <c r="K38" i="13" s="1"/>
  <c r="J185" i="13"/>
  <c r="J38" i="13" s="1"/>
  <c r="I185" i="13"/>
  <c r="I38" i="13" s="1"/>
  <c r="H185" i="13"/>
  <c r="H38" i="13" s="1"/>
  <c r="G185" i="13"/>
  <c r="L184" i="13"/>
  <c r="L37" i="13" s="1"/>
  <c r="K184" i="13"/>
  <c r="K37" i="13" s="1"/>
  <c r="J184" i="13"/>
  <c r="J37" i="13" s="1"/>
  <c r="I184" i="13"/>
  <c r="I37" i="13" s="1"/>
  <c r="H184" i="13"/>
  <c r="H37" i="13" s="1"/>
  <c r="G184" i="13"/>
  <c r="K183" i="13"/>
  <c r="K36" i="13" s="1"/>
  <c r="J183" i="13"/>
  <c r="J36" i="13" s="1"/>
  <c r="J97" i="13" s="1"/>
  <c r="I183" i="13"/>
  <c r="I36" i="13" s="1"/>
  <c r="H183" i="13"/>
  <c r="H36" i="13" s="1"/>
  <c r="G183" i="13"/>
  <c r="D181" i="13"/>
  <c r="H174" i="13"/>
  <c r="I169" i="13"/>
  <c r="F160" i="13"/>
  <c r="G156" i="13"/>
  <c r="F156" i="13"/>
  <c r="E156" i="13"/>
  <c r="D156" i="13"/>
  <c r="J155" i="13"/>
  <c r="K155" i="13" s="1"/>
  <c r="L155" i="13" s="1"/>
  <c r="I155" i="13"/>
  <c r="H155" i="13"/>
  <c r="E150" i="13"/>
  <c r="G147" i="13"/>
  <c r="G146" i="13"/>
  <c r="F146" i="13"/>
  <c r="E146" i="13"/>
  <c r="I145" i="13"/>
  <c r="J145" i="13" s="1"/>
  <c r="K145" i="13" s="1"/>
  <c r="L145" i="13" s="1"/>
  <c r="H145" i="13"/>
  <c r="G142" i="13"/>
  <c r="G152" i="13" s="1"/>
  <c r="F142" i="13"/>
  <c r="E142" i="13"/>
  <c r="D142" i="13"/>
  <c r="F140" i="13"/>
  <c r="C140" i="13"/>
  <c r="C139" i="13"/>
  <c r="G135" i="13"/>
  <c r="F135" i="13"/>
  <c r="E135" i="13"/>
  <c r="H132" i="13"/>
  <c r="F123" i="13"/>
  <c r="C123" i="13"/>
  <c r="C122" i="13"/>
  <c r="G119" i="13"/>
  <c r="H115" i="13" s="1"/>
  <c r="F119" i="13"/>
  <c r="D119" i="13"/>
  <c r="K118" i="13"/>
  <c r="J118" i="13"/>
  <c r="J86" i="13" s="1"/>
  <c r="J169" i="13" s="1"/>
  <c r="H118" i="13"/>
  <c r="I118" i="13" s="1"/>
  <c r="G112" i="13"/>
  <c r="H109" i="13" s="1"/>
  <c r="F112" i="13"/>
  <c r="E112" i="13"/>
  <c r="G106" i="13"/>
  <c r="G104" i="13" s="1"/>
  <c r="G105" i="13" s="1"/>
  <c r="H105" i="13" s="1"/>
  <c r="F106" i="13"/>
  <c r="F104" i="13" s="1"/>
  <c r="E106" i="13"/>
  <c r="E104" i="13" s="1"/>
  <c r="E105" i="13" s="1"/>
  <c r="D106" i="13"/>
  <c r="F105" i="13"/>
  <c r="D104" i="13"/>
  <c r="D105" i="13" s="1"/>
  <c r="H101" i="13"/>
  <c r="G101" i="13"/>
  <c r="F101" i="13"/>
  <c r="E101" i="13"/>
  <c r="G99" i="13"/>
  <c r="F99" i="13"/>
  <c r="E99" i="13"/>
  <c r="D99" i="13"/>
  <c r="H96" i="13"/>
  <c r="F94" i="13"/>
  <c r="C94" i="13"/>
  <c r="C93" i="13"/>
  <c r="I86" i="13"/>
  <c r="H86" i="13"/>
  <c r="H169" i="13" s="1"/>
  <c r="I81" i="13"/>
  <c r="I82" i="13" s="1"/>
  <c r="H81" i="13"/>
  <c r="H82" i="13" s="1"/>
  <c r="C70" i="13"/>
  <c r="C69" i="13"/>
  <c r="G64" i="13"/>
  <c r="F64" i="13"/>
  <c r="H63" i="13"/>
  <c r="I63" i="13" s="1"/>
  <c r="J63" i="13" s="1"/>
  <c r="K63" i="13" s="1"/>
  <c r="L63" i="13" s="1"/>
  <c r="E62" i="13"/>
  <c r="E119" i="13" s="1"/>
  <c r="F59" i="13"/>
  <c r="G57" i="13"/>
  <c r="F57" i="13"/>
  <c r="F150" i="13" s="1"/>
  <c r="E57" i="13"/>
  <c r="E55" i="13"/>
  <c r="E59" i="13" s="1"/>
  <c r="G48" i="13"/>
  <c r="F48" i="13"/>
  <c r="E48" i="13"/>
  <c r="G45" i="13"/>
  <c r="F45" i="13"/>
  <c r="F51" i="13" s="1"/>
  <c r="F66" i="13" s="1"/>
  <c r="E45" i="13"/>
  <c r="E51" i="13" s="1"/>
  <c r="G44" i="13"/>
  <c r="F44" i="13"/>
  <c r="C44" i="13"/>
  <c r="C43" i="13"/>
  <c r="G39" i="13"/>
  <c r="F39" i="13"/>
  <c r="E39" i="13"/>
  <c r="D39" i="13"/>
  <c r="G38" i="13"/>
  <c r="F38" i="13"/>
  <c r="E38" i="13"/>
  <c r="D38" i="13"/>
  <c r="G37" i="13"/>
  <c r="D37" i="13"/>
  <c r="G36" i="13"/>
  <c r="F36" i="13"/>
  <c r="E36" i="13"/>
  <c r="H25" i="13"/>
  <c r="I25" i="13" s="1"/>
  <c r="J25" i="13" s="1"/>
  <c r="K25" i="13" s="1"/>
  <c r="L25" i="13" s="1"/>
  <c r="G22" i="13"/>
  <c r="D18" i="15" s="1"/>
  <c r="G19" i="13"/>
  <c r="F19" i="13"/>
  <c r="F22" i="13" s="1"/>
  <c r="E19" i="13"/>
  <c r="E37" i="13" s="1"/>
  <c r="D19" i="13"/>
  <c r="D22" i="13" s="1"/>
  <c r="I15" i="13"/>
  <c r="I44" i="13" s="1"/>
  <c r="H15" i="13"/>
  <c r="G15" i="13"/>
  <c r="E15" i="13"/>
  <c r="E44" i="13" s="1"/>
  <c r="D15" i="13"/>
  <c r="D160" i="13" s="1"/>
  <c r="I14" i="13"/>
  <c r="H14" i="13"/>
  <c r="G14" i="13"/>
  <c r="F14" i="13"/>
  <c r="F43" i="13" s="1"/>
  <c r="E14" i="13"/>
  <c r="D14" i="13" s="1"/>
  <c r="D159" i="13" s="1"/>
  <c r="C3" i="13"/>
  <c r="C2" i="13"/>
  <c r="Q124" i="12"/>
  <c r="O124" i="12"/>
  <c r="D124" i="12"/>
  <c r="Q123" i="12"/>
  <c r="O123" i="12"/>
  <c r="G123" i="12"/>
  <c r="E123" i="12"/>
  <c r="C123" i="12"/>
  <c r="Q122" i="12"/>
  <c r="O122" i="12"/>
  <c r="G122" i="12"/>
  <c r="E122" i="12"/>
  <c r="C122" i="12"/>
  <c r="L98" i="12"/>
  <c r="G124" i="12" s="1"/>
  <c r="L97" i="12"/>
  <c r="D97" i="12"/>
  <c r="D98" i="12" s="1"/>
  <c r="L95" i="12"/>
  <c r="L94" i="12" s="1"/>
  <c r="D95" i="12"/>
  <c r="D94" i="12"/>
  <c r="Q93" i="12"/>
  <c r="P93" i="12"/>
  <c r="N93" i="12"/>
  <c r="M93" i="12"/>
  <c r="H93" i="12"/>
  <c r="I93" i="12" s="1"/>
  <c r="F93" i="12"/>
  <c r="E93" i="12" s="1"/>
  <c r="B122" i="12" s="1"/>
  <c r="D89" i="12"/>
  <c r="L88" i="12"/>
  <c r="L89" i="12" s="1"/>
  <c r="D88" i="12"/>
  <c r="L86" i="12"/>
  <c r="D86" i="12"/>
  <c r="D85" i="12" s="1"/>
  <c r="L85" i="12"/>
  <c r="P84" i="12"/>
  <c r="Q84" i="12" s="1"/>
  <c r="N84" i="12"/>
  <c r="M84" i="12" s="1"/>
  <c r="I84" i="12"/>
  <c r="B123" i="12" s="1"/>
  <c r="H84" i="12"/>
  <c r="F84" i="12"/>
  <c r="E84" i="12"/>
  <c r="C62" i="12"/>
  <c r="C57" i="12"/>
  <c r="D37" i="12"/>
  <c r="B35" i="12"/>
  <c r="D33" i="12"/>
  <c r="E33" i="12" s="1"/>
  <c r="D32" i="12"/>
  <c r="D26" i="12" s="1"/>
  <c r="C32" i="12"/>
  <c r="D28" i="12"/>
  <c r="E28" i="12" s="1"/>
  <c r="D23" i="12"/>
  <c r="D21" i="12"/>
  <c r="D19" i="12"/>
  <c r="E18" i="12"/>
  <c r="D17" i="12"/>
  <c r="D16" i="12"/>
  <c r="E14" i="12"/>
  <c r="F12" i="12"/>
  <c r="D12" i="12"/>
  <c r="E12" i="12" s="1"/>
  <c r="E37" i="12" s="1"/>
  <c r="D5" i="12"/>
  <c r="D8" i="12" s="1"/>
  <c r="C38" i="12" s="1"/>
  <c r="B3" i="12"/>
  <c r="B46" i="9"/>
  <c r="H43" i="9"/>
  <c r="C43" i="9"/>
  <c r="I42" i="9"/>
  <c r="G42" i="9"/>
  <c r="F42" i="9"/>
  <c r="G41" i="9"/>
  <c r="I41" i="9" s="1"/>
  <c r="F41" i="9"/>
  <c r="G40" i="9"/>
  <c r="F40" i="9"/>
  <c r="I40" i="9" s="1"/>
  <c r="C30" i="9"/>
  <c r="C29" i="9"/>
  <c r="C27" i="9"/>
  <c r="C26" i="9" s="1"/>
  <c r="F25" i="9"/>
  <c r="D25" i="9"/>
  <c r="D19" i="9"/>
  <c r="C19" i="9"/>
  <c r="G43" i="9" s="1"/>
  <c r="C13" i="9"/>
  <c r="C8" i="9"/>
  <c r="C7" i="9"/>
  <c r="B3" i="9"/>
  <c r="B3" i="8"/>
  <c r="Q124" i="7"/>
  <c r="O124" i="7"/>
  <c r="G124" i="7"/>
  <c r="D124" i="7"/>
  <c r="Q123" i="7"/>
  <c r="O123" i="7"/>
  <c r="G123" i="7"/>
  <c r="E123" i="7"/>
  <c r="C123" i="7"/>
  <c r="Q122" i="7"/>
  <c r="O122" i="7"/>
  <c r="E122" i="7"/>
  <c r="C122" i="7"/>
  <c r="L97" i="7"/>
  <c r="L98" i="7" s="1"/>
  <c r="D97" i="7"/>
  <c r="D98" i="7" s="1"/>
  <c r="L95" i="7"/>
  <c r="D95" i="7"/>
  <c r="L94" i="7"/>
  <c r="D94" i="7"/>
  <c r="Q93" i="7"/>
  <c r="P93" i="7"/>
  <c r="N93" i="7"/>
  <c r="M93" i="7" s="1"/>
  <c r="H93" i="7"/>
  <c r="I93" i="7" s="1"/>
  <c r="F93" i="7"/>
  <c r="E93" i="7" s="1"/>
  <c r="B122" i="7" s="1"/>
  <c r="L89" i="7"/>
  <c r="D89" i="7"/>
  <c r="L88" i="7"/>
  <c r="D88" i="7"/>
  <c r="L86" i="7"/>
  <c r="L85" i="7" s="1"/>
  <c r="D86" i="7"/>
  <c r="D85" i="7" s="1"/>
  <c r="Q84" i="7"/>
  <c r="P84" i="7"/>
  <c r="N84" i="7"/>
  <c r="M84" i="7" s="1"/>
  <c r="G122" i="7" s="1"/>
  <c r="I84" i="7"/>
  <c r="H84" i="7"/>
  <c r="F84" i="7"/>
  <c r="E84" i="7"/>
  <c r="B123" i="7" s="1"/>
  <c r="C62" i="7"/>
  <c r="I61" i="7"/>
  <c r="C57" i="7"/>
  <c r="C65" i="7" s="1"/>
  <c r="C70" i="7" s="1"/>
  <c r="D70" i="7" s="1"/>
  <c r="E37" i="7"/>
  <c r="D37" i="7"/>
  <c r="B35" i="7"/>
  <c r="G33" i="7"/>
  <c r="G32" i="7" s="1"/>
  <c r="F33" i="7"/>
  <c r="D33" i="7"/>
  <c r="E33" i="7" s="1"/>
  <c r="F32" i="7"/>
  <c r="D32" i="7"/>
  <c r="C32" i="7"/>
  <c r="E28" i="7"/>
  <c r="E27" i="7" s="1"/>
  <c r="D28" i="7"/>
  <c r="G27" i="7"/>
  <c r="F27" i="7"/>
  <c r="G26" i="7"/>
  <c r="D26" i="7"/>
  <c r="D23" i="7"/>
  <c r="F21" i="7"/>
  <c r="F23" i="7" s="1"/>
  <c r="D21" i="7"/>
  <c r="D19" i="7"/>
  <c r="E18" i="7"/>
  <c r="D17" i="7"/>
  <c r="F16" i="7"/>
  <c r="F25" i="7" s="1"/>
  <c r="E16" i="7"/>
  <c r="E25" i="7" s="1"/>
  <c r="D16" i="7"/>
  <c r="H14" i="7"/>
  <c r="H16" i="7" s="1"/>
  <c r="G14" i="7"/>
  <c r="G18" i="7" s="1"/>
  <c r="E14" i="7"/>
  <c r="F14" i="7" s="1"/>
  <c r="F18" i="7" s="1"/>
  <c r="F12" i="7"/>
  <c r="E12" i="7"/>
  <c r="D12" i="7"/>
  <c r="D5" i="7"/>
  <c r="D8" i="7" s="1"/>
  <c r="C38" i="7" s="1"/>
  <c r="B3" i="7"/>
  <c r="Q124" i="6"/>
  <c r="P124" i="6" s="1"/>
  <c r="O124" i="6"/>
  <c r="G124" i="6"/>
  <c r="D124" i="6"/>
  <c r="Q123" i="6"/>
  <c r="O123" i="6"/>
  <c r="G123" i="6"/>
  <c r="E123" i="6"/>
  <c r="C123" i="6"/>
  <c r="Q122" i="6"/>
  <c r="O122" i="6"/>
  <c r="E122" i="6"/>
  <c r="C122" i="6"/>
  <c r="B122" i="6"/>
  <c r="L97" i="6"/>
  <c r="L98" i="6" s="1"/>
  <c r="D97" i="6"/>
  <c r="D98" i="6" s="1"/>
  <c r="L95" i="6"/>
  <c r="D95" i="6"/>
  <c r="L94" i="6"/>
  <c r="D94" i="6"/>
  <c r="P93" i="6"/>
  <c r="Q93" i="6" s="1"/>
  <c r="N93" i="6"/>
  <c r="M93" i="6" s="1"/>
  <c r="L93" i="6"/>
  <c r="I93" i="6"/>
  <c r="H93" i="6"/>
  <c r="F93" i="6"/>
  <c r="E93" i="6" s="1"/>
  <c r="D93" i="6"/>
  <c r="L89" i="6"/>
  <c r="L88" i="6"/>
  <c r="D88" i="6"/>
  <c r="D89" i="6" s="1"/>
  <c r="L86" i="6"/>
  <c r="L85" i="6" s="1"/>
  <c r="D86" i="6"/>
  <c r="D85" i="6" s="1"/>
  <c r="P84" i="6"/>
  <c r="Q84" i="6" s="1"/>
  <c r="G122" i="6" s="1"/>
  <c r="N84" i="6"/>
  <c r="M84" i="6"/>
  <c r="L84" i="6"/>
  <c r="I84" i="6"/>
  <c r="B123" i="6" s="1"/>
  <c r="H84" i="6"/>
  <c r="F84" i="6"/>
  <c r="E84" i="6"/>
  <c r="D84" i="6"/>
  <c r="I61" i="6"/>
  <c r="I51" i="6"/>
  <c r="E37" i="6"/>
  <c r="D37" i="6"/>
  <c r="B35" i="6"/>
  <c r="D32" i="6"/>
  <c r="D33" i="6" s="1"/>
  <c r="E33" i="6" s="1"/>
  <c r="F33" i="6" s="1"/>
  <c r="G33" i="6" s="1"/>
  <c r="H33" i="6" s="1"/>
  <c r="I33" i="6" s="1"/>
  <c r="C32" i="6"/>
  <c r="D26" i="6" s="1"/>
  <c r="D28" i="6"/>
  <c r="E28" i="6" s="1"/>
  <c r="D23" i="6"/>
  <c r="D21" i="6"/>
  <c r="D19" i="6"/>
  <c r="D16" i="6"/>
  <c r="D17" i="6" s="1"/>
  <c r="D12" i="6"/>
  <c r="E12" i="6" s="1"/>
  <c r="F12" i="6" s="1"/>
  <c r="B3" i="6"/>
  <c r="E19" i="5"/>
  <c r="F19" i="5" s="1"/>
  <c r="G19" i="5" s="1"/>
  <c r="H19" i="5" s="1"/>
  <c r="I19" i="5" s="1"/>
  <c r="D18" i="5"/>
  <c r="D19" i="5" s="1"/>
  <c r="E16" i="5"/>
  <c r="E12" i="5"/>
  <c r="E10" i="5"/>
  <c r="F8" i="5"/>
  <c r="F12" i="5" s="1"/>
  <c r="E8" i="5"/>
  <c r="E6" i="5"/>
  <c r="F6" i="5" s="1"/>
  <c r="G6" i="5" s="1"/>
  <c r="H6" i="5" s="1"/>
  <c r="I6" i="5" s="1"/>
  <c r="H35" i="16" l="1"/>
  <c r="P123" i="12"/>
  <c r="P128" i="15"/>
  <c r="D122" i="12"/>
  <c r="P128" i="14"/>
  <c r="D129" i="14"/>
  <c r="P129" i="15"/>
  <c r="P130" i="15"/>
  <c r="D123" i="7"/>
  <c r="D129" i="15"/>
  <c r="D123" i="6"/>
  <c r="P122" i="6"/>
  <c r="D122" i="6"/>
  <c r="P122" i="7"/>
  <c r="D128" i="14"/>
  <c r="P129" i="14"/>
  <c r="D128" i="15"/>
  <c r="D123" i="12"/>
  <c r="P122" i="12"/>
  <c r="P124" i="12"/>
  <c r="P123" i="6"/>
  <c r="P123" i="7"/>
  <c r="P124" i="7"/>
  <c r="P130" i="14"/>
  <c r="H55" i="13"/>
  <c r="I55" i="13" s="1"/>
  <c r="J55" i="13" s="1"/>
  <c r="K55" i="13" s="1"/>
  <c r="H17" i="13"/>
  <c r="E14" i="15" s="1"/>
  <c r="E15" i="15" s="1"/>
  <c r="F37" i="6"/>
  <c r="G12" i="6"/>
  <c r="G21" i="7"/>
  <c r="G23" i="7" s="1"/>
  <c r="G30" i="7" s="1"/>
  <c r="G38" i="7" s="1"/>
  <c r="F37" i="12"/>
  <c r="G12" i="12"/>
  <c r="G8" i="5"/>
  <c r="F10" i="5"/>
  <c r="I14" i="7"/>
  <c r="G16" i="7"/>
  <c r="G25" i="7" s="1"/>
  <c r="H27" i="7"/>
  <c r="H33" i="7"/>
  <c r="D122" i="7"/>
  <c r="F14" i="12"/>
  <c r="E16" i="12"/>
  <c r="E25" i="12" s="1"/>
  <c r="E27" i="12"/>
  <c r="D31" i="13"/>
  <c r="D33" i="13" s="1"/>
  <c r="D26" i="13"/>
  <c r="I60" i="14"/>
  <c r="H18" i="7"/>
  <c r="E21" i="7"/>
  <c r="E23" i="7" s="1"/>
  <c r="E32" i="7"/>
  <c r="C72" i="7"/>
  <c r="D72" i="7" s="1"/>
  <c r="C18" i="9"/>
  <c r="I59" i="14"/>
  <c r="I59" i="12"/>
  <c r="E21" i="12"/>
  <c r="E23" i="12" s="1"/>
  <c r="I60" i="12"/>
  <c r="F37" i="7"/>
  <c r="G12" i="7"/>
  <c r="E32" i="12"/>
  <c r="F33" i="12"/>
  <c r="F31" i="13"/>
  <c r="F33" i="13" s="1"/>
  <c r="F26" i="13"/>
  <c r="G139" i="13"/>
  <c r="G122" i="13"/>
  <c r="G93" i="13"/>
  <c r="G160" i="13"/>
  <c r="G140" i="13"/>
  <c r="G123" i="13"/>
  <c r="E22" i="13"/>
  <c r="H32" i="13"/>
  <c r="F37" i="13"/>
  <c r="H46" i="13"/>
  <c r="D32" i="15"/>
  <c r="K86" i="13"/>
  <c r="K169" i="13" s="1"/>
  <c r="L118" i="13"/>
  <c r="L86" i="13" s="1"/>
  <c r="L169" i="13" s="1"/>
  <c r="H181" i="13"/>
  <c r="H159" i="13"/>
  <c r="H69" i="13"/>
  <c r="H182" i="13"/>
  <c r="H160" i="13"/>
  <c r="H70" i="13"/>
  <c r="H94" i="13"/>
  <c r="G43" i="13"/>
  <c r="H48" i="13"/>
  <c r="I48" i="13" s="1"/>
  <c r="J48" i="13" s="1"/>
  <c r="K48" i="13" s="1"/>
  <c r="H54" i="13"/>
  <c r="I54" i="13" s="1"/>
  <c r="J54" i="13" s="1"/>
  <c r="K54" i="13" s="1"/>
  <c r="G150" i="13"/>
  <c r="G151" i="13" s="1"/>
  <c r="H151" i="13" s="1"/>
  <c r="G59" i="13"/>
  <c r="H57" i="13"/>
  <c r="H58" i="13"/>
  <c r="H98" i="13"/>
  <c r="I101" i="13"/>
  <c r="I105" i="13"/>
  <c r="H123" i="13"/>
  <c r="H140" i="13"/>
  <c r="F147" i="13"/>
  <c r="F152" i="13" s="1"/>
  <c r="F151" i="13" s="1"/>
  <c r="E147" i="13"/>
  <c r="E152" i="13" s="1"/>
  <c r="E151" i="13" s="1"/>
  <c r="E159" i="13"/>
  <c r="E139" i="13"/>
  <c r="E122" i="13"/>
  <c r="E93" i="13"/>
  <c r="I181" i="13"/>
  <c r="I159" i="13"/>
  <c r="I69" i="13"/>
  <c r="I139" i="13"/>
  <c r="I122" i="13"/>
  <c r="I93" i="13"/>
  <c r="I94" i="13"/>
  <c r="I182" i="13"/>
  <c r="I140" i="13"/>
  <c r="I123" i="13"/>
  <c r="D19" i="15"/>
  <c r="G26" i="13"/>
  <c r="G31" i="13"/>
  <c r="H43" i="13"/>
  <c r="G51" i="13"/>
  <c r="G66" i="13" s="1"/>
  <c r="H122" i="13"/>
  <c r="H126" i="13"/>
  <c r="H139" i="13"/>
  <c r="I160" i="13"/>
  <c r="F159" i="13"/>
  <c r="F139" i="13"/>
  <c r="F122" i="13"/>
  <c r="F93" i="13"/>
  <c r="J14" i="13"/>
  <c r="E94" i="13"/>
  <c r="E160" i="13"/>
  <c r="E140" i="13"/>
  <c r="E123" i="13"/>
  <c r="J15" i="13"/>
  <c r="G27" i="15"/>
  <c r="J81" i="13"/>
  <c r="J82" i="13" s="1"/>
  <c r="E43" i="13"/>
  <c r="I43" i="13"/>
  <c r="H44" i="13"/>
  <c r="H50" i="13"/>
  <c r="E64" i="13"/>
  <c r="E66" i="13" s="1"/>
  <c r="I70" i="13"/>
  <c r="H93" i="13"/>
  <c r="G94" i="13"/>
  <c r="K97" i="13"/>
  <c r="G159" i="13"/>
  <c r="G37" i="14"/>
  <c r="H12" i="14"/>
  <c r="G12" i="15"/>
  <c r="K189" i="13"/>
  <c r="L190" i="13"/>
  <c r="I17" i="13" l="1"/>
  <c r="I19" i="13" s="1"/>
  <c r="E28" i="15"/>
  <c r="C14" i="15"/>
  <c r="H104" i="13"/>
  <c r="H110" i="13" s="1"/>
  <c r="H21" i="13"/>
  <c r="H20" i="13"/>
  <c r="H19" i="13"/>
  <c r="H18" i="13" s="1"/>
  <c r="I151" i="13"/>
  <c r="H27" i="15"/>
  <c r="K81" i="13"/>
  <c r="K82" i="13" s="1"/>
  <c r="J140" i="13"/>
  <c r="J123" i="13"/>
  <c r="J94" i="13"/>
  <c r="J182" i="13"/>
  <c r="J160" i="13"/>
  <c r="J70" i="13"/>
  <c r="J44" i="13"/>
  <c r="K15" i="13"/>
  <c r="H78" i="13"/>
  <c r="I58" i="13"/>
  <c r="H170" i="13"/>
  <c r="H74" i="13"/>
  <c r="H61" i="13"/>
  <c r="I32" i="13"/>
  <c r="F40" i="13"/>
  <c r="F28" i="13"/>
  <c r="G37" i="6"/>
  <c r="H12" i="6"/>
  <c r="I12" i="14"/>
  <c r="H37" i="14"/>
  <c r="H112" i="13"/>
  <c r="I50" i="13"/>
  <c r="D16" i="15"/>
  <c r="D17" i="15" s="1"/>
  <c r="G33" i="13"/>
  <c r="J105" i="13"/>
  <c r="H150" i="13"/>
  <c r="H152" i="13" s="1"/>
  <c r="H84" i="13"/>
  <c r="I57" i="13"/>
  <c r="D33" i="15"/>
  <c r="E31" i="13"/>
  <c r="E33" i="13" s="1"/>
  <c r="E26" i="13"/>
  <c r="I58" i="14"/>
  <c r="I61" i="14" s="1"/>
  <c r="C72" i="14" s="1"/>
  <c r="D72" i="14" s="1"/>
  <c r="I58" i="12"/>
  <c r="I61" i="12" s="1"/>
  <c r="C72" i="12" s="1"/>
  <c r="D72" i="12" s="1"/>
  <c r="G37" i="7"/>
  <c r="G39" i="7" s="1"/>
  <c r="H12" i="7"/>
  <c r="C58" i="14"/>
  <c r="E18" i="9"/>
  <c r="E19" i="9" s="1"/>
  <c r="E21" i="9" s="1"/>
  <c r="F43" i="9"/>
  <c r="I43" i="9" s="1"/>
  <c r="C45" i="9" s="1"/>
  <c r="C46" i="9" s="1"/>
  <c r="C35" i="9" s="1"/>
  <c r="H23" i="7"/>
  <c r="H21" i="7"/>
  <c r="D40" i="13"/>
  <c r="D28" i="13"/>
  <c r="F18" i="12"/>
  <c r="F16" i="12"/>
  <c r="F27" i="12"/>
  <c r="G14" i="12"/>
  <c r="H25" i="7"/>
  <c r="L189" i="13"/>
  <c r="L191" i="13"/>
  <c r="L183" i="13"/>
  <c r="L36" i="13" s="1"/>
  <c r="L55" i="13" s="1"/>
  <c r="J181" i="13"/>
  <c r="J159" i="13"/>
  <c r="J139" i="13"/>
  <c r="J122" i="13"/>
  <c r="J93" i="13"/>
  <c r="J69" i="13"/>
  <c r="J43" i="13"/>
  <c r="K14" i="13"/>
  <c r="G40" i="13"/>
  <c r="G28" i="13"/>
  <c r="J101" i="13"/>
  <c r="I98" i="13"/>
  <c r="I46" i="13"/>
  <c r="G33" i="12"/>
  <c r="F32" i="12"/>
  <c r="C59" i="14"/>
  <c r="I27" i="7"/>
  <c r="I18" i="7"/>
  <c r="I16" i="7"/>
  <c r="G37" i="15"/>
  <c r="H12" i="15"/>
  <c r="H99" i="13"/>
  <c r="F26" i="12"/>
  <c r="E26" i="12"/>
  <c r="E30" i="12" s="1"/>
  <c r="E38" i="12" s="1"/>
  <c r="F26" i="7"/>
  <c r="F30" i="7" s="1"/>
  <c r="F38" i="7" s="1"/>
  <c r="F39" i="7" s="1"/>
  <c r="E26" i="7"/>
  <c r="E30" i="7" s="1"/>
  <c r="E38" i="7" s="1"/>
  <c r="E39" i="7" s="1"/>
  <c r="I33" i="7"/>
  <c r="I32" i="7" s="1"/>
  <c r="H32" i="7"/>
  <c r="G12" i="5"/>
  <c r="G10" i="5"/>
  <c r="H8" i="5"/>
  <c r="G37" i="12"/>
  <c r="H12" i="12"/>
  <c r="F14" i="15" l="1"/>
  <c r="F15" i="15" s="1"/>
  <c r="J17" i="13"/>
  <c r="J104" i="13" s="1"/>
  <c r="J110" i="13" s="1"/>
  <c r="I20" i="13"/>
  <c r="I21" i="13"/>
  <c r="I104" i="13"/>
  <c r="I110" i="13" s="1"/>
  <c r="H106" i="13"/>
  <c r="H30" i="13" s="1"/>
  <c r="E25" i="15" s="1"/>
  <c r="H22" i="13"/>
  <c r="E18" i="15" s="1"/>
  <c r="H37" i="15"/>
  <c r="I12" i="15"/>
  <c r="K181" i="13"/>
  <c r="K139" i="13"/>
  <c r="K122" i="13"/>
  <c r="K159" i="13"/>
  <c r="K93" i="13"/>
  <c r="K69" i="13"/>
  <c r="K43" i="13"/>
  <c r="L14" i="13"/>
  <c r="G27" i="12"/>
  <c r="H14" i="12"/>
  <c r="G18" i="12"/>
  <c r="G16" i="12"/>
  <c r="D162" i="13"/>
  <c r="D116" i="13"/>
  <c r="C65" i="15"/>
  <c r="C70" i="15" s="1"/>
  <c r="D70" i="15" s="1"/>
  <c r="I150" i="13"/>
  <c r="I84" i="13"/>
  <c r="J57" i="13"/>
  <c r="K105" i="13"/>
  <c r="I109" i="13"/>
  <c r="H111" i="13"/>
  <c r="H77" i="13" s="1"/>
  <c r="I61" i="13"/>
  <c r="L54" i="13"/>
  <c r="K182" i="13"/>
  <c r="K160" i="13"/>
  <c r="K140" i="13"/>
  <c r="K123" i="13"/>
  <c r="K70" i="13"/>
  <c r="K44" i="13"/>
  <c r="L15" i="13"/>
  <c r="K94" i="13"/>
  <c r="L97" i="13"/>
  <c r="H10" i="5"/>
  <c r="I8" i="5"/>
  <c r="H12" i="5"/>
  <c r="K101" i="13"/>
  <c r="J98" i="13"/>
  <c r="I96" i="13"/>
  <c r="I99" i="13" s="1"/>
  <c r="H49" i="13"/>
  <c r="G32" i="12"/>
  <c r="H33" i="12"/>
  <c r="J46" i="13"/>
  <c r="G116" i="13"/>
  <c r="G162" i="13"/>
  <c r="C25" i="9"/>
  <c r="H37" i="7"/>
  <c r="I12" i="7"/>
  <c r="F116" i="13"/>
  <c r="F162" i="13"/>
  <c r="I78" i="13"/>
  <c r="J58" i="13"/>
  <c r="G26" i="12"/>
  <c r="H37" i="12"/>
  <c r="I12" i="12"/>
  <c r="I25" i="7"/>
  <c r="I42" i="7"/>
  <c r="I44" i="7" s="1"/>
  <c r="H47" i="13"/>
  <c r="H53" i="13"/>
  <c r="D22" i="15"/>
  <c r="H40" i="13"/>
  <c r="F25" i="12"/>
  <c r="C65" i="12"/>
  <c r="C70" i="12" s="1"/>
  <c r="D70" i="12" s="1"/>
  <c r="E40" i="13"/>
  <c r="E28" i="13"/>
  <c r="E44" i="14"/>
  <c r="B43" i="14"/>
  <c r="I37" i="14"/>
  <c r="B44" i="14"/>
  <c r="H163" i="13"/>
  <c r="H175" i="13"/>
  <c r="H176" i="13" s="1"/>
  <c r="I152" i="13"/>
  <c r="J151" i="13"/>
  <c r="I18" i="13"/>
  <c r="I26" i="7"/>
  <c r="H26" i="7"/>
  <c r="I23" i="7"/>
  <c r="I30" i="7" s="1"/>
  <c r="I21" i="7"/>
  <c r="F23" i="12"/>
  <c r="F30" i="12" s="1"/>
  <c r="F38" i="12" s="1"/>
  <c r="F39" i="12" s="1"/>
  <c r="F21" i="12"/>
  <c r="H30" i="7"/>
  <c r="H38" i="7" s="1"/>
  <c r="H39" i="7" s="1"/>
  <c r="C65" i="14"/>
  <c r="C70" i="14" s="1"/>
  <c r="D70" i="14" s="1"/>
  <c r="L48" i="13"/>
  <c r="I112" i="13"/>
  <c r="J50" i="13"/>
  <c r="I12" i="6"/>
  <c r="H37" i="6"/>
  <c r="I170" i="13"/>
  <c r="I74" i="13"/>
  <c r="J32" i="13"/>
  <c r="F28" i="15" l="1"/>
  <c r="K17" i="13"/>
  <c r="K104" i="13" s="1"/>
  <c r="K110" i="13" s="1"/>
  <c r="J19" i="13"/>
  <c r="J18" i="13" s="1"/>
  <c r="G14" i="15"/>
  <c r="G15" i="15" s="1"/>
  <c r="I22" i="13"/>
  <c r="F18" i="15" s="1"/>
  <c r="J20" i="13"/>
  <c r="J21" i="13"/>
  <c r="H73" i="13"/>
  <c r="I106" i="13"/>
  <c r="I30" i="13" s="1"/>
  <c r="H31" i="13"/>
  <c r="H33" i="13" s="1"/>
  <c r="J106" i="13"/>
  <c r="J30" i="13" s="1"/>
  <c r="G25" i="15" s="1"/>
  <c r="J112" i="13"/>
  <c r="K50" i="13"/>
  <c r="I174" i="13"/>
  <c r="H177" i="13"/>
  <c r="H76" i="13"/>
  <c r="I53" i="13"/>
  <c r="G164" i="13"/>
  <c r="G167" i="13"/>
  <c r="I49" i="13"/>
  <c r="J96" i="13"/>
  <c r="J99" i="13" s="1"/>
  <c r="I10" i="5"/>
  <c r="I12" i="5"/>
  <c r="L182" i="13"/>
  <c r="L160" i="13"/>
  <c r="L140" i="13"/>
  <c r="L123" i="13"/>
  <c r="L70" i="13"/>
  <c r="L94" i="13"/>
  <c r="L44" i="13"/>
  <c r="J61" i="13"/>
  <c r="L105" i="13"/>
  <c r="G25" i="12"/>
  <c r="L139" i="13"/>
  <c r="L122" i="13"/>
  <c r="L69" i="13"/>
  <c r="L43" i="13"/>
  <c r="L181" i="13"/>
  <c r="L159" i="13"/>
  <c r="L93" i="13"/>
  <c r="E44" i="15"/>
  <c r="B43" i="15"/>
  <c r="I37" i="15"/>
  <c r="B44" i="15"/>
  <c r="I111" i="13"/>
  <c r="I77" i="13" s="1"/>
  <c r="J109" i="13"/>
  <c r="C43" i="7"/>
  <c r="C44" i="7" s="1"/>
  <c r="I38" i="7"/>
  <c r="K151" i="13"/>
  <c r="H166" i="13"/>
  <c r="I47" i="13"/>
  <c r="I75" i="13" s="1"/>
  <c r="H75" i="13"/>
  <c r="E32" i="15"/>
  <c r="K58" i="13"/>
  <c r="J78" i="13"/>
  <c r="I33" i="12"/>
  <c r="H32" i="12"/>
  <c r="G21" i="12"/>
  <c r="G23" i="12" s="1"/>
  <c r="G30" i="12" s="1"/>
  <c r="G38" i="12" s="1"/>
  <c r="G39" i="12" s="1"/>
  <c r="E162" i="13"/>
  <c r="E116" i="13"/>
  <c r="E22" i="15"/>
  <c r="E21" i="15" s="1"/>
  <c r="I40" i="13"/>
  <c r="E44" i="12"/>
  <c r="B43" i="12"/>
  <c r="B44" i="12"/>
  <c r="I37" i="12"/>
  <c r="E44" i="7"/>
  <c r="B43" i="7"/>
  <c r="I37" i="7"/>
  <c r="I45" i="7" s="1"/>
  <c r="B44" i="7"/>
  <c r="I51" i="14"/>
  <c r="H39" i="14"/>
  <c r="G39" i="14"/>
  <c r="I45" i="14"/>
  <c r="C44" i="14"/>
  <c r="I39" i="14"/>
  <c r="E39" i="14"/>
  <c r="F39" i="14"/>
  <c r="K46" i="13"/>
  <c r="H26" i="12"/>
  <c r="L101" i="13"/>
  <c r="L98" i="13" s="1"/>
  <c r="K98" i="13"/>
  <c r="I27" i="15"/>
  <c r="L81" i="13"/>
  <c r="L82" i="13" s="1"/>
  <c r="J150" i="13"/>
  <c r="J152" i="13" s="1"/>
  <c r="J84" i="13"/>
  <c r="K57" i="13"/>
  <c r="H16" i="12"/>
  <c r="H18" i="12"/>
  <c r="I14" i="12"/>
  <c r="H27" i="12"/>
  <c r="J74" i="13"/>
  <c r="K32" i="13"/>
  <c r="J170" i="13"/>
  <c r="B43" i="6"/>
  <c r="B44" i="6"/>
  <c r="I37" i="6"/>
  <c r="E44" i="6"/>
  <c r="E19" i="15"/>
  <c r="C18" i="15"/>
  <c r="E23" i="15"/>
  <c r="D21" i="15"/>
  <c r="D23" i="15"/>
  <c r="F167" i="13"/>
  <c r="F164" i="13"/>
  <c r="D167" i="13"/>
  <c r="D164" i="13"/>
  <c r="E39" i="12"/>
  <c r="K21" i="13" l="1"/>
  <c r="K19" i="13"/>
  <c r="K18" i="13" s="1"/>
  <c r="I31" i="13"/>
  <c r="F16" i="15" s="1"/>
  <c r="F17" i="15" s="1"/>
  <c r="G28" i="15"/>
  <c r="J22" i="13"/>
  <c r="J31" i="13" s="1"/>
  <c r="K20" i="13"/>
  <c r="H14" i="15"/>
  <c r="H28" i="15" s="1"/>
  <c r="L17" i="13"/>
  <c r="L19" i="13" s="1"/>
  <c r="K106" i="13"/>
  <c r="K30" i="13" s="1"/>
  <c r="K73" i="13" s="1"/>
  <c r="F25" i="15"/>
  <c r="I73" i="13"/>
  <c r="E16" i="15"/>
  <c r="C16" i="15" s="1"/>
  <c r="J73" i="13"/>
  <c r="L57" i="13"/>
  <c r="K150" i="13"/>
  <c r="K84" i="13"/>
  <c r="L46" i="13"/>
  <c r="C46" i="14"/>
  <c r="E167" i="13"/>
  <c r="E164" i="13"/>
  <c r="K78" i="13"/>
  <c r="L58" i="13"/>
  <c r="L78" i="13" s="1"/>
  <c r="J47" i="13"/>
  <c r="J75" i="13" s="1"/>
  <c r="F32" i="15"/>
  <c r="F26" i="15" s="1"/>
  <c r="L151" i="13"/>
  <c r="K152" i="13"/>
  <c r="I27" i="12"/>
  <c r="I16" i="12"/>
  <c r="I18" i="12"/>
  <c r="F22" i="15"/>
  <c r="F21" i="15" s="1"/>
  <c r="J40" i="13"/>
  <c r="I32" i="12"/>
  <c r="I26" i="12" s="1"/>
  <c r="I51" i="7"/>
  <c r="I39" i="7"/>
  <c r="C46" i="7" s="1"/>
  <c r="K61" i="13"/>
  <c r="K112" i="13"/>
  <c r="L50" i="13"/>
  <c r="L112" i="13" s="1"/>
  <c r="H21" i="12"/>
  <c r="H23" i="12"/>
  <c r="C51" i="14"/>
  <c r="C45" i="14"/>
  <c r="E33" i="15"/>
  <c r="E26" i="15"/>
  <c r="E30" i="15" s="1"/>
  <c r="E38" i="15" s="1"/>
  <c r="E39" i="15" s="1"/>
  <c r="C51" i="7"/>
  <c r="C45" i="7"/>
  <c r="F19" i="15"/>
  <c r="F23" i="15"/>
  <c r="K109" i="13"/>
  <c r="J111" i="13"/>
  <c r="J77" i="13" s="1"/>
  <c r="K170" i="13"/>
  <c r="K74" i="13"/>
  <c r="L32" i="13"/>
  <c r="H25" i="12"/>
  <c r="K96" i="13"/>
  <c r="K99" i="13" s="1"/>
  <c r="J49" i="13"/>
  <c r="I76" i="13"/>
  <c r="J53" i="13"/>
  <c r="I33" i="13" l="1"/>
  <c r="K22" i="13"/>
  <c r="K31" i="13" s="1"/>
  <c r="L104" i="13"/>
  <c r="L110" i="13" s="1"/>
  <c r="I14" i="15"/>
  <c r="I15" i="15" s="1"/>
  <c r="H15" i="15"/>
  <c r="L20" i="13"/>
  <c r="L21" i="13"/>
  <c r="G18" i="15"/>
  <c r="G19" i="15" s="1"/>
  <c r="E17" i="15"/>
  <c r="H25" i="15"/>
  <c r="F30" i="15"/>
  <c r="F38" i="15" s="1"/>
  <c r="F39" i="15" s="1"/>
  <c r="L96" i="13"/>
  <c r="L99" i="13" s="1"/>
  <c r="L49" i="13" s="1"/>
  <c r="K49" i="13"/>
  <c r="L18" i="13"/>
  <c r="L74" i="13"/>
  <c r="L170" i="13"/>
  <c r="C47" i="7"/>
  <c r="C69" i="7" s="1"/>
  <c r="H30" i="12"/>
  <c r="H38" i="12" s="1"/>
  <c r="H39" i="12" s="1"/>
  <c r="I46" i="7"/>
  <c r="I25" i="12"/>
  <c r="I42" i="12"/>
  <c r="I44" i="12" s="1"/>
  <c r="I45" i="12" s="1"/>
  <c r="G16" i="15"/>
  <c r="G17" i="15" s="1"/>
  <c r="J33" i="13"/>
  <c r="J76" i="13"/>
  <c r="K53" i="13"/>
  <c r="F33" i="15"/>
  <c r="G22" i="15"/>
  <c r="K40" i="13"/>
  <c r="L150" i="13"/>
  <c r="L152" i="13" s="1"/>
  <c r="L84" i="13"/>
  <c r="K111" i="13"/>
  <c r="K77" i="13" s="1"/>
  <c r="L109" i="13"/>
  <c r="L61" i="13"/>
  <c r="I23" i="12"/>
  <c r="I30" i="12" s="1"/>
  <c r="I21" i="12"/>
  <c r="K47" i="13"/>
  <c r="K75" i="13" s="1"/>
  <c r="G32" i="15"/>
  <c r="G26" i="15" s="1"/>
  <c r="I46" i="14"/>
  <c r="I47" i="14" s="1"/>
  <c r="C47" i="14"/>
  <c r="C69" i="14" s="1"/>
  <c r="H18" i="15" l="1"/>
  <c r="H19" i="15" s="1"/>
  <c r="L111" i="13"/>
  <c r="L77" i="13" s="1"/>
  <c r="L106" i="13"/>
  <c r="L30" i="13" s="1"/>
  <c r="L73" i="13" s="1"/>
  <c r="L22" i="13"/>
  <c r="I18" i="15" s="1"/>
  <c r="I28" i="15"/>
  <c r="G21" i="15"/>
  <c r="C50" i="7"/>
  <c r="C49" i="14"/>
  <c r="C50" i="14" s="1"/>
  <c r="D69" i="14"/>
  <c r="I49" i="14"/>
  <c r="I50" i="14" s="1"/>
  <c r="K76" i="13"/>
  <c r="L53" i="13"/>
  <c r="C49" i="7"/>
  <c r="C43" i="12"/>
  <c r="C44" i="12" s="1"/>
  <c r="I38" i="12"/>
  <c r="I47" i="7"/>
  <c r="G33" i="15"/>
  <c r="H22" i="15"/>
  <c r="L40" i="13"/>
  <c r="C84" i="14"/>
  <c r="C82" i="14"/>
  <c r="C78" i="14"/>
  <c r="L90" i="14" s="1"/>
  <c r="C71" i="14"/>
  <c r="C73" i="14" s="1"/>
  <c r="D90" i="14" s="1"/>
  <c r="C83" i="14"/>
  <c r="C77" i="14"/>
  <c r="C79" i="14"/>
  <c r="L47" i="13"/>
  <c r="H32" i="15"/>
  <c r="H26" i="15" s="1"/>
  <c r="G23" i="15"/>
  <c r="G30" i="15" s="1"/>
  <c r="G38" i="15" s="1"/>
  <c r="G39" i="15" s="1"/>
  <c r="H16" i="15"/>
  <c r="H17" i="15" s="1"/>
  <c r="K33" i="13"/>
  <c r="C78" i="7"/>
  <c r="C76" i="7"/>
  <c r="C77" i="7"/>
  <c r="L84" i="7" s="1"/>
  <c r="C71" i="7"/>
  <c r="C73" i="7" s="1"/>
  <c r="D84" i="7" s="1"/>
  <c r="H21" i="15" l="1"/>
  <c r="I25" i="15"/>
  <c r="L31" i="13"/>
  <c r="I16" i="15" s="1"/>
  <c r="I32" i="15"/>
  <c r="I33" i="15" s="1"/>
  <c r="L75" i="13"/>
  <c r="I22" i="15"/>
  <c r="I21" i="15" s="1"/>
  <c r="I39" i="12"/>
  <c r="C46" i="12" s="1"/>
  <c r="I51" i="12"/>
  <c r="I19" i="15"/>
  <c r="I23" i="15"/>
  <c r="L76" i="13"/>
  <c r="C51" i="12"/>
  <c r="C45" i="12"/>
  <c r="D84" i="14"/>
  <c r="D82" i="14"/>
  <c r="D78" i="14"/>
  <c r="L99" i="14" s="1"/>
  <c r="D71" i="14"/>
  <c r="D73" i="14" s="1"/>
  <c r="D99" i="14" s="1"/>
  <c r="D83" i="14"/>
  <c r="D79" i="14"/>
  <c r="D77" i="14"/>
  <c r="D69" i="7"/>
  <c r="I49" i="7"/>
  <c r="H33" i="15"/>
  <c r="I50" i="7"/>
  <c r="H23" i="15"/>
  <c r="H30" i="15" s="1"/>
  <c r="H38" i="15" s="1"/>
  <c r="H39" i="15" s="1"/>
  <c r="L33" i="13" l="1"/>
  <c r="I26" i="15"/>
  <c r="I30" i="15" s="1"/>
  <c r="I38" i="15" s="1"/>
  <c r="I42" i="15"/>
  <c r="I44" i="15" s="1"/>
  <c r="I45" i="15" s="1"/>
  <c r="I17" i="15"/>
  <c r="D78" i="7"/>
  <c r="D76" i="7"/>
  <c r="D77" i="7"/>
  <c r="L93" i="7" s="1"/>
  <c r="D71" i="7"/>
  <c r="D73" i="7" s="1"/>
  <c r="D93" i="7" s="1"/>
  <c r="C47" i="12"/>
  <c r="C69" i="12" s="1"/>
  <c r="I46" i="12"/>
  <c r="C50" i="12" l="1"/>
  <c r="C43" i="15"/>
  <c r="C44" i="15" s="1"/>
  <c r="I39" i="15"/>
  <c r="C46" i="15" s="1"/>
  <c r="I51" i="15"/>
  <c r="C49" i="12"/>
  <c r="I47" i="12"/>
  <c r="C78" i="12"/>
  <c r="C76" i="12"/>
  <c r="C77" i="12"/>
  <c r="L84" i="12" s="1"/>
  <c r="C71" i="12"/>
  <c r="C73" i="12" s="1"/>
  <c r="D84" i="12" s="1"/>
  <c r="I46" i="15" l="1"/>
  <c r="I47" i="15" s="1"/>
  <c r="D69" i="12"/>
  <c r="I49" i="12"/>
  <c r="I50" i="12"/>
  <c r="C51" i="15"/>
  <c r="C45" i="15"/>
  <c r="D77" i="12" l="1"/>
  <c r="L93" i="12" s="1"/>
  <c r="D71" i="12"/>
  <c r="D73" i="12" s="1"/>
  <c r="D93" i="12" s="1"/>
  <c r="D78" i="12"/>
  <c r="D76" i="12"/>
  <c r="C47" i="15"/>
  <c r="C69" i="15" s="1"/>
  <c r="D69" i="15"/>
  <c r="I49" i="15"/>
  <c r="I50" i="15" s="1"/>
  <c r="D84" i="15" l="1"/>
  <c r="D82" i="15"/>
  <c r="D78" i="15"/>
  <c r="L99" i="15" s="1"/>
  <c r="D71" i="15"/>
  <c r="D99" i="15" s="1"/>
  <c r="D83" i="15"/>
  <c r="D79" i="15"/>
  <c r="D77" i="15"/>
  <c r="C84" i="15"/>
  <c r="C82" i="15"/>
  <c r="C78" i="15"/>
  <c r="L90" i="15" s="1"/>
  <c r="C71" i="15"/>
  <c r="D90" i="15" s="1"/>
  <c r="C83" i="15"/>
  <c r="C79" i="15"/>
  <c r="C77" i="15"/>
  <c r="C49" i="15"/>
  <c r="C50" i="15" s="1"/>
  <c r="F10" i="1" l="1"/>
  <c r="E10" i="1"/>
  <c r="D10" i="1"/>
  <c r="C10" i="1"/>
  <c r="G93" i="1"/>
  <c r="G92" i="1"/>
  <c r="G91" i="1"/>
  <c r="G90" i="1"/>
  <c r="I49" i="1"/>
  <c r="F48" i="1"/>
  <c r="L93" i="1"/>
  <c r="K93" i="1"/>
  <c r="J93" i="1"/>
  <c r="I93" i="1"/>
  <c r="H93" i="1"/>
  <c r="L92" i="1"/>
  <c r="K92" i="1"/>
  <c r="J92" i="1"/>
  <c r="I92" i="1"/>
  <c r="H92" i="1"/>
  <c r="L91" i="1"/>
  <c r="K91" i="1"/>
  <c r="J91" i="1"/>
  <c r="I91" i="1"/>
  <c r="H91" i="1"/>
  <c r="L90" i="1"/>
  <c r="K90" i="1"/>
  <c r="J90" i="1"/>
  <c r="I90" i="1"/>
  <c r="H90" i="1"/>
  <c r="B89" i="1"/>
  <c r="D8" i="1"/>
  <c r="E8" i="1" s="1"/>
  <c r="G8" i="1" s="1"/>
  <c r="H8" i="1" s="1"/>
  <c r="I8" i="1" s="1"/>
  <c r="J8" i="1" s="1"/>
  <c r="K8" i="1" s="1"/>
  <c r="L8" i="1" s="1"/>
  <c r="L88" i="1" s="1"/>
  <c r="G88" i="1" l="1"/>
  <c r="F49" i="1"/>
  <c r="H49" i="1"/>
  <c r="K49" i="1"/>
  <c r="J48" i="1"/>
  <c r="K48" i="1"/>
  <c r="J49" i="1"/>
  <c r="F45" i="1"/>
  <c r="H48" i="1"/>
  <c r="L48" i="1"/>
  <c r="I48" i="1"/>
  <c r="L49" i="1"/>
  <c r="I88" i="1"/>
  <c r="J88" i="1"/>
  <c r="K88" i="1"/>
  <c r="H88" i="1"/>
  <c r="F47" i="1" l="1"/>
  <c r="F46" i="1"/>
  <c r="F44" i="1"/>
  <c r="L44" i="1"/>
  <c r="J46" i="1"/>
  <c r="J47" i="1"/>
  <c r="H44" i="1"/>
  <c r="H46" i="1"/>
  <c r="H45" i="1"/>
  <c r="J44" i="1" l="1"/>
  <c r="K45" i="1"/>
  <c r="K47" i="1"/>
  <c r="K44" i="1"/>
  <c r="K46" i="1"/>
  <c r="I47" i="1"/>
  <c r="I46" i="1"/>
  <c r="I45" i="1"/>
  <c r="I44" i="1"/>
  <c r="J45" i="1"/>
  <c r="L47" i="1"/>
  <c r="H47" i="1"/>
  <c r="L45" i="1"/>
  <c r="L46" i="1"/>
  <c r="H23" i="13"/>
  <c r="I23" i="13"/>
  <c r="J23" i="13"/>
  <c r="K23" i="13"/>
  <c r="L23" i="13"/>
  <c r="H24" i="13"/>
  <c r="I24" i="13"/>
  <c r="J24" i="13"/>
  <c r="K24" i="13"/>
  <c r="L24" i="13"/>
  <c r="H26" i="13"/>
  <c r="I26" i="13"/>
  <c r="J26" i="13"/>
  <c r="K26" i="13"/>
  <c r="L26" i="13"/>
  <c r="H27" i="13"/>
  <c r="I27" i="13"/>
  <c r="J27" i="13"/>
  <c r="K27" i="13"/>
  <c r="L27" i="13"/>
  <c r="H28" i="13"/>
  <c r="I28" i="13"/>
  <c r="J28" i="13"/>
  <c r="K28" i="13"/>
  <c r="L28" i="13"/>
  <c r="H45" i="13"/>
  <c r="I45" i="13"/>
  <c r="J45" i="13"/>
  <c r="K45" i="13"/>
  <c r="L45" i="13"/>
  <c r="H51" i="13"/>
  <c r="I51" i="13"/>
  <c r="J51" i="13"/>
  <c r="K51" i="13"/>
  <c r="L51" i="13"/>
  <c r="H56" i="13"/>
  <c r="I56" i="13"/>
  <c r="J56" i="13"/>
  <c r="K56" i="13"/>
  <c r="L56" i="13"/>
  <c r="H59" i="13"/>
  <c r="I59" i="13"/>
  <c r="J59" i="13"/>
  <c r="K59" i="13"/>
  <c r="L59" i="13"/>
  <c r="H62" i="13"/>
  <c r="I62" i="13"/>
  <c r="J62" i="13"/>
  <c r="K62" i="13"/>
  <c r="L62" i="13"/>
  <c r="H64" i="13"/>
  <c r="I64" i="13"/>
  <c r="J64" i="13"/>
  <c r="K64" i="13"/>
  <c r="L64" i="13"/>
  <c r="H66" i="13"/>
  <c r="I66" i="13"/>
  <c r="J66" i="13"/>
  <c r="K66" i="13"/>
  <c r="L66" i="13"/>
  <c r="H72" i="13"/>
  <c r="I72" i="13"/>
  <c r="J72" i="13"/>
  <c r="K72" i="13"/>
  <c r="L72" i="13"/>
  <c r="H79" i="13"/>
  <c r="I79" i="13"/>
  <c r="J79" i="13"/>
  <c r="K79" i="13"/>
  <c r="L79" i="13"/>
  <c r="H85" i="13"/>
  <c r="I85" i="13"/>
  <c r="J85" i="13"/>
  <c r="K85" i="13"/>
  <c r="L85" i="13"/>
  <c r="H87" i="13"/>
  <c r="I87" i="13"/>
  <c r="J87" i="13"/>
  <c r="K87" i="13"/>
  <c r="L87" i="13"/>
  <c r="H88" i="13"/>
  <c r="I88" i="13"/>
  <c r="J88" i="13"/>
  <c r="K88" i="13"/>
  <c r="L88" i="13"/>
  <c r="H90" i="13"/>
  <c r="I90" i="13"/>
  <c r="J90" i="13"/>
  <c r="K90" i="13"/>
  <c r="L90" i="13"/>
  <c r="I115" i="13"/>
  <c r="J115" i="13"/>
  <c r="K115" i="13"/>
  <c r="L115" i="13"/>
  <c r="H116" i="13"/>
  <c r="I116" i="13"/>
  <c r="J116" i="13"/>
  <c r="K116" i="13"/>
  <c r="L116" i="13"/>
  <c r="H117" i="13"/>
  <c r="I117" i="13"/>
  <c r="J117" i="13"/>
  <c r="K117" i="13"/>
  <c r="L117" i="13"/>
  <c r="H119" i="13"/>
  <c r="I119" i="13"/>
  <c r="J119" i="13"/>
  <c r="K119" i="13"/>
  <c r="L119" i="13"/>
  <c r="I126" i="13"/>
  <c r="J126" i="13"/>
  <c r="K126" i="13"/>
  <c r="L126" i="13"/>
  <c r="H128" i="13"/>
  <c r="I128" i="13"/>
  <c r="J128" i="13"/>
  <c r="K128" i="13"/>
  <c r="L128" i="13"/>
  <c r="H129" i="13"/>
  <c r="I129" i="13"/>
  <c r="J129" i="13"/>
  <c r="K129" i="13"/>
  <c r="L129" i="13"/>
  <c r="I132" i="13"/>
  <c r="J132" i="13"/>
  <c r="K132" i="13"/>
  <c r="L132" i="13"/>
  <c r="H133" i="13"/>
  <c r="I133" i="13"/>
  <c r="J133" i="13"/>
  <c r="K133" i="13"/>
  <c r="L133" i="13"/>
  <c r="H135" i="13"/>
  <c r="I135" i="13"/>
  <c r="J135" i="13"/>
  <c r="K135" i="13"/>
  <c r="L135" i="13"/>
  <c r="H136" i="13"/>
  <c r="I136" i="13"/>
  <c r="J136" i="13"/>
  <c r="K136" i="13"/>
  <c r="L136" i="13"/>
  <c r="H142" i="13"/>
  <c r="I142" i="13"/>
  <c r="J142" i="13"/>
  <c r="K142" i="13"/>
  <c r="L142" i="13"/>
  <c r="H146" i="13"/>
  <c r="I146" i="13"/>
  <c r="J146" i="13"/>
  <c r="K146" i="13"/>
  <c r="L146" i="13"/>
  <c r="H147" i="13"/>
  <c r="I147" i="13"/>
  <c r="J147" i="13"/>
  <c r="K147" i="13"/>
  <c r="L147" i="13"/>
  <c r="H156" i="13"/>
  <c r="I156" i="13"/>
  <c r="J156" i="13"/>
  <c r="K156" i="13"/>
  <c r="L156" i="13"/>
  <c r="H162" i="13"/>
  <c r="I162" i="13"/>
  <c r="J162" i="13"/>
  <c r="K162" i="13"/>
  <c r="L162" i="13"/>
  <c r="I163" i="13"/>
  <c r="J163" i="13"/>
  <c r="K163" i="13"/>
  <c r="L163" i="13"/>
  <c r="H164" i="13"/>
  <c r="I164" i="13"/>
  <c r="J164" i="13"/>
  <c r="K164" i="13"/>
  <c r="L164" i="13"/>
  <c r="I166" i="13"/>
  <c r="J166" i="13"/>
  <c r="K166" i="13"/>
  <c r="L166" i="13"/>
  <c r="H167" i="13"/>
  <c r="I167" i="13"/>
  <c r="J167" i="13"/>
  <c r="K167" i="13"/>
  <c r="L167" i="13"/>
  <c r="I171" i="13"/>
  <c r="J171" i="13"/>
  <c r="K171" i="13"/>
  <c r="L171" i="13"/>
  <c r="I172" i="13"/>
  <c r="J172" i="13"/>
  <c r="K172" i="13"/>
  <c r="L172" i="13"/>
  <c r="J174" i="13"/>
  <c r="K174" i="13"/>
  <c r="L174" i="13"/>
  <c r="I175" i="13"/>
  <c r="J175" i="13"/>
  <c r="K175" i="13"/>
  <c r="L175" i="13"/>
  <c r="I176" i="13"/>
  <c r="J176" i="13"/>
  <c r="K176" i="13"/>
  <c r="L176" i="13"/>
  <c r="I177" i="13"/>
  <c r="J177" i="13"/>
  <c r="K177" i="13"/>
  <c r="L17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dean hoxholli</author>
  </authors>
  <commentList>
    <comment ref="C5" authorId="0" shapeId="0" xr:uid="{75EA31A7-C460-4297-AD83-97184B10A58D}">
      <text>
        <r>
          <rPr>
            <b/>
            <sz val="9"/>
            <color indexed="81"/>
            <rFont val="Tahoma"/>
            <family val="2"/>
          </rPr>
          <t>dean hoxholli:</t>
        </r>
        <r>
          <rPr>
            <sz val="9"/>
            <color indexed="81"/>
            <rFont val="Tahoma"/>
            <family val="2"/>
          </rPr>
          <t xml:space="preserve">
1. Data 
2. Data Validation 
3.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Matan Feldman</author>
    <author>Wall Street Prep</author>
  </authors>
  <commentList>
    <comment ref="D7" authorId="0" shapeId="0" xr:uid="{8F247BCC-2D89-4EA6-8B67-59BAA1859DB3}">
      <text>
        <r>
          <rPr>
            <sz val="9"/>
            <color indexed="81"/>
            <rFont val="Tahoma"/>
            <family val="2"/>
          </rPr>
          <t>In practice can use the NOW() function to keep current date active</t>
        </r>
      </text>
    </comment>
    <comment ref="H7" authorId="0" shapeId="0" xr:uid="{BD1C4AE5-EE56-4675-AFCD-190A3A6BD0F1}">
      <text>
        <r>
          <rPr>
            <sz val="9"/>
            <color indexed="81"/>
            <rFont val="Tahoma"/>
            <family val="2"/>
          </rPr>
          <t>1 = Midyear CF
0 = End of year CF</t>
        </r>
      </text>
    </comment>
    <comment ref="B23" authorId="0" shapeId="0" xr:uid="{5F77DE86-1636-4C92-A547-9895E79E4452}">
      <text>
        <r>
          <rPr>
            <sz val="9"/>
            <color indexed="81"/>
            <rFont val="Tahoma"/>
            <family val="2"/>
          </rPr>
          <t>NOPAT stands for net operating profit after taxes.  It represents a company's operating profits less tax expense on operations.  This means that the tax deductions due to interest expense are ignored in this buildup and are instead captured in the discount rate.</t>
        </r>
      </text>
    </comment>
    <comment ref="E38" authorId="0" shapeId="0" xr:uid="{CE668820-6014-45DB-B1B1-E073840DCF14}">
      <text>
        <r>
          <rPr>
            <sz val="9"/>
            <color indexed="81"/>
            <rFont val="Tahoma"/>
            <family val="2"/>
          </rPr>
          <t xml:space="preserve">
Stub year adjusted</t>
        </r>
      </text>
    </comment>
    <comment ref="I51" authorId="1" shapeId="0" xr:uid="{79EF3017-8771-4920-A8E7-83E3CCEDE879}">
      <text>
        <r>
          <rPr>
            <sz val="9"/>
            <color indexed="81"/>
            <rFont val="Tahoma"/>
            <family val="2"/>
          </rPr>
          <t xml:space="preserve">Implied g = [r -FCF(t)/TV]/(1+FCF(t)/TV)
</t>
        </r>
      </text>
    </comment>
    <comment ref="B57" authorId="0" shapeId="0" xr:uid="{E9C2843E-E2EB-4F16-9908-4EE997924D05}">
      <text>
        <r>
          <rPr>
            <sz val="9"/>
            <color indexed="81"/>
            <rFont val="Tahoma"/>
            <family val="2"/>
          </rPr>
          <t>Include all debt tranches</t>
        </r>
      </text>
    </comment>
    <comment ref="I57" authorId="0" shapeId="0" xr:uid="{1F67EAB9-E1FB-47FB-B84F-59FE9155B1A0}">
      <text>
        <r>
          <rPr>
            <sz val="9"/>
            <color indexed="81"/>
            <rFont val="Tahoma"/>
            <family val="2"/>
          </rPr>
          <t xml:space="preserve">Source: Q1 2020 10Q p.19 </t>
        </r>
      </text>
    </comment>
    <comment ref="B62" authorId="0" shapeId="0" xr:uid="{1BCB0E0F-133A-4A76-8C28-3E9940C597C2}">
      <text>
        <r>
          <rPr>
            <b/>
            <sz val="9"/>
            <color indexed="81"/>
            <rFont val="Tahoma"/>
            <family val="2"/>
          </rPr>
          <t>Matan Feldman:</t>
        </r>
        <r>
          <rPr>
            <sz val="9"/>
            <color indexed="81"/>
            <rFont val="Tahoma"/>
            <family val="2"/>
          </rPr>
          <t xml:space="preserve">
Include cash &amp; equivalents, short term and long term marketable securites and investments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Matan Feldman</author>
    <author>Wall Street Prep</author>
  </authors>
  <commentList>
    <comment ref="D7" authorId="0" shapeId="0" xr:uid="{AAD626D0-0309-4FEE-BE9A-4D8C2578EAD8}">
      <text>
        <r>
          <rPr>
            <sz val="9"/>
            <color indexed="81"/>
            <rFont val="Tahoma"/>
            <family val="2"/>
          </rPr>
          <t>In practice can use the NOW() function to keep current date active</t>
        </r>
      </text>
    </comment>
    <comment ref="H7" authorId="0" shapeId="0" xr:uid="{868F6451-ACEA-4581-A20C-FBF5913B6503}">
      <text>
        <r>
          <rPr>
            <sz val="9"/>
            <color indexed="81"/>
            <rFont val="Tahoma"/>
            <family val="2"/>
          </rPr>
          <t>1 = Midyear CF
0 = End of year CF</t>
        </r>
      </text>
    </comment>
    <comment ref="B23" authorId="0" shapeId="0" xr:uid="{200E027C-DEF6-49C2-A1F5-96865A795190}">
      <text>
        <r>
          <rPr>
            <sz val="9"/>
            <color indexed="81"/>
            <rFont val="Tahoma"/>
            <family val="2"/>
          </rPr>
          <t>NOPAT stands for net operating profit after taxes.  It represents a company's operating profits less tax expense on operations.  This means that the tax deductions due to interest expense are ignored in this buildup and are instead captured in the discount rate.</t>
        </r>
      </text>
    </comment>
    <comment ref="E38" authorId="0" shapeId="0" xr:uid="{8382FB1D-9581-4083-9C2A-8FC1F4A279AE}">
      <text>
        <r>
          <rPr>
            <sz val="9"/>
            <color indexed="81"/>
            <rFont val="Tahoma"/>
            <family val="2"/>
          </rPr>
          <t>Stub year adjusted</t>
        </r>
      </text>
    </comment>
    <comment ref="I51" authorId="1" shapeId="0" xr:uid="{073FD494-BC12-4B59-88B6-3A42353D79B4}">
      <text>
        <r>
          <rPr>
            <sz val="9"/>
            <color indexed="81"/>
            <rFont val="Tahoma"/>
            <family val="2"/>
          </rPr>
          <t xml:space="preserve">Implied g = [r -FCF(t)/TV]/(1+FCF(t)/TV)
</t>
        </r>
      </text>
    </comment>
    <comment ref="B57" authorId="0" shapeId="0" xr:uid="{4E99B73A-690D-4E97-A930-67F602C2F761}">
      <text>
        <r>
          <rPr>
            <sz val="9"/>
            <color indexed="81"/>
            <rFont val="Tahoma"/>
            <family val="2"/>
          </rPr>
          <t>Include all debt tranches</t>
        </r>
      </text>
    </comment>
    <comment ref="B62" authorId="0" shapeId="0" xr:uid="{5B262AB5-CA2B-4886-805B-4C9344C790C4}">
      <text>
        <r>
          <rPr>
            <sz val="9"/>
            <color indexed="81"/>
            <rFont val="Tahoma"/>
            <family val="2"/>
          </rPr>
          <t>Include cash &amp; equivalents, short term and long term marketable securites and investments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Wall Street Prep</author>
  </authors>
  <commentList>
    <comment ref="H40" authorId="0" shapeId="0" xr:uid="{072BEFE9-6794-4DA4-86B2-CFBECF939309}">
      <text>
        <r>
          <rPr>
            <b/>
            <sz val="9"/>
            <color indexed="81"/>
            <rFont val="Tahoma"/>
            <family val="2"/>
          </rPr>
          <t>Wall Street Prep:</t>
        </r>
        <r>
          <rPr>
            <sz val="9"/>
            <color indexed="81"/>
            <rFont val="Tahoma"/>
            <family val="2"/>
          </rPr>
          <t xml:space="preserve">
Last 9 month per latest 10Q footnotes</t>
        </r>
      </text>
    </comment>
    <comment ref="H41" authorId="0" shapeId="0" xr:uid="{1B7B4428-8043-4D8A-980E-36E8CA34F82D}">
      <text>
        <r>
          <rPr>
            <b/>
            <sz val="9"/>
            <color indexed="81"/>
            <rFont val="Tahoma"/>
            <family val="2"/>
          </rPr>
          <t>Wall Street Prep:</t>
        </r>
        <r>
          <rPr>
            <sz val="9"/>
            <color indexed="81"/>
            <rFont val="Tahoma"/>
            <family val="2"/>
          </rPr>
          <t xml:space="preserve">
Non-GAAP tax rate from latest 10Q</t>
        </r>
      </text>
    </comment>
    <comment ref="H42" authorId="0" shapeId="0" xr:uid="{D5D3D509-0545-478A-BF3E-45DD2992956E}">
      <text>
        <r>
          <rPr>
            <b/>
            <sz val="9"/>
            <color indexed="81"/>
            <rFont val="Tahoma"/>
            <family val="2"/>
          </rPr>
          <t>Wall Street Prep:</t>
        </r>
        <r>
          <rPr>
            <sz val="9"/>
            <color indexed="81"/>
            <rFont val="Tahoma"/>
            <family val="2"/>
          </rPr>
          <t xml:space="preserve">
Annualized tax rate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Matan Feldman</author>
    <author>Wall Street Prep</author>
  </authors>
  <commentList>
    <comment ref="B23" authorId="0" shapeId="0" xr:uid="{5747DD19-D537-4411-9524-941CF8BD28B0}">
      <text>
        <r>
          <rPr>
            <sz val="9"/>
            <color indexed="81"/>
            <rFont val="Tahoma"/>
            <family val="2"/>
          </rPr>
          <t>NOPAT stands for net operating profit after taxes.  It represents a company's operating profits less tax expense on operations.  This means that the tax deductions due to interest expense are ignored in this buildup and are instead captured in the discount rate.</t>
        </r>
      </text>
    </comment>
    <comment ref="E38" authorId="0" shapeId="0" xr:uid="{B5390CA3-6935-4E96-A30A-B10C28B39097}">
      <text>
        <r>
          <rPr>
            <b/>
            <sz val="9"/>
            <color indexed="81"/>
            <rFont val="Tahoma"/>
            <family val="2"/>
          </rPr>
          <t>Matan Feldman:</t>
        </r>
        <r>
          <rPr>
            <sz val="9"/>
            <color indexed="81"/>
            <rFont val="Tahoma"/>
            <family val="2"/>
          </rPr>
          <t xml:space="preserve">
Stub year adjusted</t>
        </r>
      </text>
    </comment>
    <comment ref="I51" authorId="1" shapeId="0" xr:uid="{43B1CF66-6779-4CB8-B5BF-80241E8DC017}">
      <text>
        <r>
          <rPr>
            <sz val="9"/>
            <color indexed="81"/>
            <rFont val="Tahoma"/>
            <family val="2"/>
          </rPr>
          <t xml:space="preserve">
Implied g = [r -FCF(t)/TV]/(1+FCF(t)/TV)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Matan Feldman</author>
  </authors>
  <commentList>
    <comment ref="D11" authorId="0" shapeId="0" xr:uid="{6FCE05E0-A300-4756-BFA2-FCF6AB3DB24B}">
      <text>
        <r>
          <rPr>
            <sz val="9"/>
            <color indexed="81"/>
            <rFont val="Tahoma"/>
            <family val="2"/>
          </rPr>
          <t>Front cover of Apple 2019 10K
As of October 18, 2019</t>
        </r>
      </text>
    </comment>
    <comment ref="C48" authorId="0" shapeId="0" xr:uid="{A17D1C8C-0380-4513-A993-7576BA7E5C84}">
      <text>
        <r>
          <rPr>
            <sz val="9"/>
            <color indexed="81"/>
            <rFont val="Tahoma"/>
            <family val="2"/>
          </rPr>
          <t>Includes vendor non-trade receivables</t>
        </r>
      </text>
    </comment>
    <comment ref="C50" authorId="0" shapeId="0" xr:uid="{E7C0213A-3ADE-4368-9576-8D657D820F53}">
      <text>
        <r>
          <rPr>
            <sz val="9"/>
            <color indexed="81"/>
            <rFont val="Tahoma"/>
            <family val="2"/>
          </rPr>
          <t>AAPL started aggregating goodwill, intangible assets and other non current assets into one line item in 2018, with no footnote breakout of the individual line items. 10Ks prior to 2018 did have a breakout.</t>
        </r>
      </text>
    </comment>
    <comment ref="F54" authorId="0" shapeId="0" xr:uid="{2071016E-762B-4B8F-B0D6-2D7A27AD952F}">
      <text>
        <r>
          <rPr>
            <b/>
            <sz val="9"/>
            <color indexed="81"/>
            <rFont val="Tahoma"/>
            <family val="2"/>
          </rPr>
          <t>Matan Feldman:</t>
        </r>
        <r>
          <rPr>
            <sz val="9"/>
            <color indexed="81"/>
            <rFont val="Tahoma"/>
            <family val="2"/>
          </rPr>
          <t xml:space="preserve">
reclassified from 32687 in 2018 10k</t>
        </r>
      </text>
    </comment>
    <comment ref="E55" authorId="0" shapeId="0" xr:uid="{782F73A0-3424-406C-8848-C72BC78DECF6}">
      <text>
        <r>
          <rPr>
            <b/>
            <sz val="9"/>
            <color indexed="81"/>
            <rFont val="Tahoma"/>
            <family val="2"/>
          </rPr>
          <t>Matan Feldman:</t>
        </r>
        <r>
          <rPr>
            <sz val="9"/>
            <color indexed="81"/>
            <rFont val="Tahoma"/>
            <family val="2"/>
          </rPr>
          <t xml:space="preserve">
includes both current and non current deferred revenue</t>
        </r>
      </text>
    </comment>
    <comment ref="F55" authorId="0" shapeId="0" xr:uid="{6658FD5C-905A-43F9-BE2C-9A7D605366C9}">
      <text>
        <r>
          <rPr>
            <b/>
            <sz val="9"/>
            <color indexed="81"/>
            <rFont val="Tahoma"/>
            <family val="2"/>
          </rPr>
          <t>Matan Feldman:</t>
        </r>
        <r>
          <rPr>
            <sz val="9"/>
            <color indexed="81"/>
            <rFont val="Tahoma"/>
            <family val="2"/>
          </rPr>
          <t xml:space="preserve">
reclassified from 10,340 in 2018 10k</t>
        </r>
      </text>
    </comment>
    <comment ref="H97" authorId="0" shapeId="0" xr:uid="{EF0A28AB-5B45-442C-8693-67FB0579008D}">
      <text>
        <r>
          <rPr>
            <b/>
            <sz val="9"/>
            <color indexed="81"/>
            <rFont val="Tahoma"/>
            <family val="2"/>
          </rPr>
          <t>Matan Feldman:</t>
        </r>
        <r>
          <rPr>
            <sz val="9"/>
            <color indexed="81"/>
            <rFont val="Tahoma"/>
            <family val="2"/>
          </rPr>
          <t xml:space="preserve">
consensus per 1/2/19 source CIQ</t>
        </r>
      </text>
    </comment>
    <comment ref="I97" authorId="0" shapeId="0" xr:uid="{95E6DBFA-2A53-490E-9F18-D105F2755F17}">
      <text>
        <r>
          <rPr>
            <b/>
            <sz val="9"/>
            <color indexed="81"/>
            <rFont val="Tahoma"/>
            <family val="2"/>
          </rPr>
          <t>Matan Feldman:</t>
        </r>
        <r>
          <rPr>
            <sz val="9"/>
            <color indexed="81"/>
            <rFont val="Tahoma"/>
            <family val="2"/>
          </rPr>
          <t xml:space="preserve">
consensus per 1/2/19 source CIQ</t>
        </r>
      </text>
    </comment>
    <comment ref="N101" authorId="0" shapeId="0" xr:uid="{2904C2DF-7093-4CC1-8551-D2C3D42ABECB}">
      <text>
        <r>
          <rPr>
            <sz val="9"/>
            <color indexed="81"/>
            <rFont val="Tahoma"/>
            <family val="2"/>
          </rPr>
          <t>WSP estimate</t>
        </r>
      </text>
    </comment>
    <comment ref="C117" authorId="0" shapeId="0" xr:uid="{84101935-3586-4A21-99D3-417053802E9D}">
      <text>
        <r>
          <rPr>
            <sz val="9"/>
            <color indexed="81"/>
            <rFont val="Tahoma"/>
            <family val="2"/>
          </rPr>
          <t>Statement of shareholders equity schedule, p.41 Apple 2018 10K</t>
        </r>
      </text>
    </comment>
    <comment ref="C118" authorId="0" shapeId="0" xr:uid="{CA057226-82E2-4C34-8E26-85299075C699}">
      <text>
        <r>
          <rPr>
            <sz val="9"/>
            <color indexed="81"/>
            <rFont val="Tahoma"/>
            <family val="2"/>
          </rPr>
          <t>Statement of shareholders equity schedule, p.41 Apple 2018 10K</t>
        </r>
      </text>
    </comment>
    <comment ref="E145" authorId="0" shapeId="0" xr:uid="{C875F23D-2EA0-4182-8D96-3B9ECB3EE3EC}">
      <text>
        <r>
          <rPr>
            <sz val="9"/>
            <color indexed="81"/>
            <rFont val="Tahoma"/>
            <family val="2"/>
          </rPr>
          <t>2018 Note 5 - Debt. 10K p55</t>
        </r>
      </text>
    </comment>
    <comment ref="F145" authorId="0" shapeId="0" xr:uid="{D649317B-F208-412F-8074-423FA393BAFA}">
      <text>
        <r>
          <rPr>
            <b/>
            <sz val="9"/>
            <color indexed="81"/>
            <rFont val="Tahoma"/>
            <family val="2"/>
          </rPr>
          <t>Matan Feldman:</t>
        </r>
        <r>
          <rPr>
            <sz val="9"/>
            <color indexed="81"/>
            <rFont val="Tahoma"/>
            <family val="2"/>
          </rPr>
          <t xml:space="preserve">
2019 10k p.47</t>
        </r>
      </text>
    </comment>
    <comment ref="G145" authorId="0" shapeId="0" xr:uid="{9353E3F3-261D-4075-871F-93DBCD166C8D}">
      <text>
        <r>
          <rPr>
            <b/>
            <sz val="9"/>
            <color indexed="81"/>
            <rFont val="Tahoma"/>
            <family val="2"/>
          </rPr>
          <t>Matan Feldman:</t>
        </r>
        <r>
          <rPr>
            <sz val="9"/>
            <color indexed="81"/>
            <rFont val="Tahoma"/>
            <family val="2"/>
          </rPr>
          <t xml:space="preserve">
2019 10k p.47</t>
        </r>
      </text>
    </comment>
    <comment ref="C151" authorId="0" shapeId="0" xr:uid="{1A7291CA-4695-472D-BFDF-32D9B16F0CD2}">
      <text>
        <r>
          <rPr>
            <sz val="9"/>
            <color indexed="81"/>
            <rFont val="Tahoma"/>
            <family val="2"/>
          </rPr>
          <t xml:space="preserve">We estimate the historical interest rate (though not explicitly disclosed by Apple). </t>
        </r>
      </text>
    </comment>
    <comment ref="C152" authorId="0" shapeId="0" xr:uid="{01AA9E62-E42B-4944-88C8-9FA164522C6B}">
      <text>
        <r>
          <rPr>
            <sz val="9"/>
            <color indexed="81"/>
            <rFont val="Tahoma"/>
            <family val="2"/>
          </rPr>
          <t>Although Apple doesn't disclose interest expense specifically, it does disclose the interest rate on commercial paper which enables us to back into interest expense for LTD</t>
        </r>
      </text>
    </comment>
    <comment ref="D155" authorId="0" shapeId="0" xr:uid="{C7D8CDAF-72F3-42C5-8A63-6934AFAD293C}">
      <text>
        <r>
          <rPr>
            <sz val="9"/>
            <color indexed="81"/>
            <rFont val="Tahoma"/>
            <family val="2"/>
          </rPr>
          <t>2018 p.27 in the 'Other Income/(Expense), Net' section.</t>
        </r>
      </text>
    </comment>
    <comment ref="E155" authorId="0" shapeId="0" xr:uid="{C242801D-6A3C-488E-ACF8-79486BB06526}">
      <text>
        <r>
          <rPr>
            <sz val="9"/>
            <color indexed="81"/>
            <rFont val="Tahoma"/>
            <family val="2"/>
          </rPr>
          <t>2018 p.27 in the 'Other Income/(Expense), Net' section.</t>
        </r>
      </text>
    </comment>
    <comment ref="F155" authorId="0" shapeId="0" xr:uid="{4806AE64-660E-4B02-BB83-9413478BF88B}">
      <text>
        <r>
          <rPr>
            <b/>
            <sz val="9"/>
            <color indexed="81"/>
            <rFont val="Tahoma"/>
            <family val="2"/>
          </rPr>
          <t>Matan Feldman:</t>
        </r>
        <r>
          <rPr>
            <sz val="9"/>
            <color indexed="81"/>
            <rFont val="Tahoma"/>
            <family val="2"/>
          </rPr>
          <t xml:space="preserve">
2019 10k p.22</t>
        </r>
      </text>
    </comment>
    <comment ref="G155" authorId="0" shapeId="0" xr:uid="{C22A1694-4E8D-4752-ADBC-B81B5C0E3864}">
      <text>
        <r>
          <rPr>
            <b/>
            <sz val="9"/>
            <color indexed="81"/>
            <rFont val="Tahoma"/>
            <family val="2"/>
          </rPr>
          <t>Matan Feldman:</t>
        </r>
        <r>
          <rPr>
            <sz val="9"/>
            <color indexed="81"/>
            <rFont val="Tahoma"/>
            <family val="2"/>
          </rPr>
          <t xml:space="preserve">
2019 10k p.22</t>
        </r>
      </text>
    </comment>
    <comment ref="C166" authorId="0" shapeId="0" xr:uid="{205C6ADC-4016-4C65-AFCC-EE8F70C83874}">
      <text>
        <r>
          <rPr>
            <sz val="9"/>
            <color indexed="81"/>
            <rFont val="Tahoma"/>
            <family val="2"/>
          </rPr>
          <t>We straight line last actual year's dilutive securities (calculated as diluted - basic shares) and add this number to the basic share count to arrive at diluted shares</t>
        </r>
      </text>
    </comment>
    <comment ref="C170" authorId="0" shapeId="0" xr:uid="{0165A720-E5AD-4F25-971E-CEA727FD1CD9}">
      <text>
        <r>
          <rPr>
            <sz val="9"/>
            <color indexed="81"/>
            <rFont val="Tahoma"/>
            <family val="2"/>
          </rPr>
          <t>Although we are not forecasting explicit share issuances, stock based compensation will eventually increase the basic share count. We need to account for this somehow, otherwise we will be undercounting future basic shares. For simplicty, we are using the SBC expense as a proxy for the current value of common stock issuance.</t>
        </r>
      </text>
    </comment>
    <comment ref="H171" authorId="0" shapeId="0" xr:uid="{1CEB8B20-FE2C-4C83-9D55-3D7B4C0CF05C}">
      <text>
        <r>
          <rPr>
            <sz val="9"/>
            <color indexed="81"/>
            <rFont val="Tahoma"/>
            <family val="2"/>
          </rPr>
          <t xml:space="preserve">Use latest share count or last 12 month average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Matan Feldman</author>
    <author>Wall Street Prep</author>
  </authors>
  <commentList>
    <comment ref="D7" authorId="0" shapeId="0" xr:uid="{8F5DFE3B-B260-4C35-9B29-E26CBCAC1EBA}">
      <text>
        <r>
          <rPr>
            <b/>
            <sz val="9"/>
            <color indexed="81"/>
            <rFont val="Tahoma"/>
            <family val="2"/>
          </rPr>
          <t>Matan Feldman:</t>
        </r>
        <r>
          <rPr>
            <sz val="9"/>
            <color indexed="81"/>
            <rFont val="Tahoma"/>
            <family val="2"/>
          </rPr>
          <t xml:space="preserve">
In practice can use the NOW() function to keep current date active</t>
        </r>
      </text>
    </comment>
    <comment ref="H7" authorId="0" shapeId="0" xr:uid="{640B07B2-227B-4161-BB29-D711D5708313}">
      <text>
        <r>
          <rPr>
            <b/>
            <sz val="9"/>
            <color indexed="81"/>
            <rFont val="Tahoma"/>
            <family val="2"/>
          </rPr>
          <t>Matan Feldman:</t>
        </r>
        <r>
          <rPr>
            <sz val="9"/>
            <color indexed="81"/>
            <rFont val="Tahoma"/>
            <family val="2"/>
          </rPr>
          <t xml:space="preserve">
Midyear convention? (1=Yes,0=No)</t>
        </r>
      </text>
    </comment>
    <comment ref="B23" authorId="0" shapeId="0" xr:uid="{842A3D9D-5984-412B-98D1-AEB8A0D2193F}">
      <text>
        <r>
          <rPr>
            <b/>
            <sz val="9"/>
            <color indexed="81"/>
            <rFont val="Tahoma"/>
            <family val="2"/>
          </rPr>
          <t>Matan Feldman:</t>
        </r>
        <r>
          <rPr>
            <sz val="9"/>
            <color indexed="81"/>
            <rFont val="Tahoma"/>
            <family val="2"/>
          </rPr>
          <t xml:space="preserve">
NOPAT stands for net operating profit after taxes.  It represents a company's operating profits less tax expense on operations.  This means that the tax deductions due to interest expense are ignored in this buildup and are instead captured in the discount rate.</t>
        </r>
      </text>
    </comment>
    <comment ref="I51" authorId="1" shapeId="0" xr:uid="{AEFA258A-0BB3-4788-97E6-B97141FD2D48}">
      <text>
        <r>
          <rPr>
            <b/>
            <sz val="9"/>
            <color indexed="81"/>
            <rFont val="Tahoma"/>
            <family val="2"/>
          </rPr>
          <t>Wall Street Prep:</t>
        </r>
        <r>
          <rPr>
            <sz val="9"/>
            <color indexed="81"/>
            <rFont val="Tahoma"/>
            <family val="2"/>
          </rPr>
          <t xml:space="preserve">
Implied g = [r -FCF(t)/TV]/(1+FCF(t)/TV)</t>
        </r>
      </text>
    </comment>
    <comment ref="I57" authorId="0" shapeId="0" xr:uid="{3A1E4BA6-1666-4E47-9DAA-CD15D587AC4B}">
      <text>
        <r>
          <rPr>
            <b/>
            <sz val="9"/>
            <color indexed="81"/>
            <rFont val="Tahoma"/>
            <family val="2"/>
          </rPr>
          <t>Matan Feldman:</t>
        </r>
        <r>
          <rPr>
            <sz val="9"/>
            <color indexed="81"/>
            <rFont val="Tahoma"/>
            <family val="2"/>
          </rPr>
          <t xml:space="preserve">
Source: Q1 2020 10Q p.19 </t>
        </r>
      </text>
    </comment>
    <comment ref="B62" authorId="0" shapeId="0" xr:uid="{27EEC979-C0D4-4995-843E-FD767E728EDE}">
      <text>
        <r>
          <rPr>
            <b/>
            <sz val="9"/>
            <color indexed="81"/>
            <rFont val="Tahoma"/>
            <family val="2"/>
          </rPr>
          <t>Matan Feldman:</t>
        </r>
        <r>
          <rPr>
            <sz val="9"/>
            <color indexed="81"/>
            <rFont val="Tahoma"/>
            <family val="2"/>
          </rPr>
          <t xml:space="preserve">
Include cash &amp; equivalents, short term and long term marketable securites and investments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Matan Feldman</author>
  </authors>
  <commentList>
    <comment ref="E38" authorId="0" shapeId="0" xr:uid="{28000CC7-91D6-4798-BA17-63094C15A4F9}">
      <text>
        <r>
          <rPr>
            <b/>
            <sz val="9"/>
            <color indexed="81"/>
            <rFont val="Tahoma"/>
            <family val="2"/>
          </rPr>
          <t>Matan Feldman:</t>
        </r>
        <r>
          <rPr>
            <sz val="9"/>
            <color indexed="81"/>
            <rFont val="Tahoma"/>
            <family val="2"/>
          </rPr>
          <t xml:space="preserve">
Stub year adjusted</t>
        </r>
      </text>
    </comment>
  </commentList>
</comments>
</file>

<file path=xl/sharedStrings.xml><?xml version="1.0" encoding="utf-8"?>
<sst xmlns="http://schemas.openxmlformats.org/spreadsheetml/2006/main" count="1148" uniqueCount="491">
  <si>
    <t>Historical</t>
  </si>
  <si>
    <t>Forecast</t>
  </si>
  <si>
    <t>Revenue</t>
  </si>
  <si>
    <t>COGS</t>
  </si>
  <si>
    <t>Gross Profit</t>
  </si>
  <si>
    <t>OPEX</t>
  </si>
  <si>
    <t>Reported EBITDA</t>
  </si>
  <si>
    <t>Adjustment 1</t>
  </si>
  <si>
    <t>Adjustment 2</t>
  </si>
  <si>
    <t>Adjustment 3</t>
  </si>
  <si>
    <t>Adjustment 4</t>
  </si>
  <si>
    <t>Adjustment 5</t>
  </si>
  <si>
    <t>Total Adjustments</t>
  </si>
  <si>
    <t>Adjusted EBITDA</t>
  </si>
  <si>
    <t>CAPEX</t>
  </si>
  <si>
    <t>D&amp;A</t>
  </si>
  <si>
    <t>Taxable Income</t>
  </si>
  <si>
    <t>Tax Rate</t>
  </si>
  <si>
    <t>Cash Taxes</t>
  </si>
  <si>
    <t>Interest Expense</t>
  </si>
  <si>
    <t>Cash Impact of EBITDA Adjustments</t>
  </si>
  <si>
    <t>Working Capital Changes</t>
  </si>
  <si>
    <t>FCF for Debt Repayment</t>
  </si>
  <si>
    <t xml:space="preserve">Senior Debt Amortization </t>
  </si>
  <si>
    <t>FCF Sweep</t>
  </si>
  <si>
    <t>Net Cash Inflow / Outflow</t>
  </si>
  <si>
    <t>Debt Summary</t>
  </si>
  <si>
    <t xml:space="preserve">Revolver </t>
  </si>
  <si>
    <t xml:space="preserve">Senior Secured Term Loan </t>
  </si>
  <si>
    <t>Seller Note</t>
  </si>
  <si>
    <t>Subordinated Debt</t>
  </si>
  <si>
    <t>Total Debt</t>
  </si>
  <si>
    <t>LTM</t>
  </si>
  <si>
    <t>Credit Stats</t>
  </si>
  <si>
    <t>Cash</t>
  </si>
  <si>
    <t>Net Debt</t>
  </si>
  <si>
    <t>Fixed Charge Ratio</t>
  </si>
  <si>
    <t>Unlevered FCF % of Debt</t>
  </si>
  <si>
    <t>Levered FCF % of Debt</t>
  </si>
  <si>
    <t>Operating Metrics</t>
  </si>
  <si>
    <t>Revenue Growth</t>
  </si>
  <si>
    <t>Gross Profit Growth</t>
  </si>
  <si>
    <t>Reported EBITDA Growth</t>
  </si>
  <si>
    <t>Adj. EBITDA Growth</t>
  </si>
  <si>
    <t>GP %</t>
  </si>
  <si>
    <t>Reported EBITDA %</t>
  </si>
  <si>
    <t>Adj. EBITDA %</t>
  </si>
  <si>
    <t>Debt Schedule</t>
  </si>
  <si>
    <t>Revolver</t>
  </si>
  <si>
    <t>Beginning Balance</t>
  </si>
  <si>
    <t>Draw</t>
  </si>
  <si>
    <t>Paydown</t>
  </si>
  <si>
    <t>Ending Balance</t>
  </si>
  <si>
    <t>Base Rate</t>
  </si>
  <si>
    <t>Margin</t>
  </si>
  <si>
    <t>Total Interest Rate</t>
  </si>
  <si>
    <t>Term Debt</t>
  </si>
  <si>
    <t>Amort %</t>
  </si>
  <si>
    <t>Model Assumptions</t>
  </si>
  <si>
    <t xml:space="preserve">Adj. EBITDA % </t>
  </si>
  <si>
    <t>Management Case</t>
  </si>
  <si>
    <t>Base Case</t>
  </si>
  <si>
    <t>Downside Case</t>
  </si>
  <si>
    <t>Case</t>
  </si>
  <si>
    <t>Cases</t>
  </si>
  <si>
    <t>Capex %</t>
  </si>
  <si>
    <t xml:space="preserve">Total Debt / Adj. EBITDA </t>
  </si>
  <si>
    <t xml:space="preserve">Net Debt / Adj. EBITDA </t>
  </si>
  <si>
    <t>Cash Interest Coverage</t>
  </si>
  <si>
    <t>LTM 6/30/21</t>
  </si>
  <si>
    <t>Financials</t>
  </si>
  <si>
    <t xml:space="preserve">$ and shares in millions, except per share data </t>
  </si>
  <si>
    <t>Actual</t>
  </si>
  <si>
    <t xml:space="preserve">Fiscal year ended September 30, </t>
  </si>
  <si>
    <t xml:space="preserve">Revenue  </t>
  </si>
  <si>
    <t>% Revenue growth</t>
  </si>
  <si>
    <t xml:space="preserve">EBITDA </t>
  </si>
  <si>
    <t>% margin</t>
  </si>
  <si>
    <t>EBIT</t>
  </si>
  <si>
    <t>Tax rate</t>
  </si>
  <si>
    <t>Capex as % of revenue</t>
  </si>
  <si>
    <t>Net working capital (WC Assets - WC liabilities)</t>
  </si>
  <si>
    <t>as % of revenue</t>
  </si>
  <si>
    <t>Discounted Cash Flow Valuation</t>
  </si>
  <si>
    <t>Most recent fiscal year end</t>
  </si>
  <si>
    <t>Discount rate (WACC)</t>
  </si>
  <si>
    <t>End of first fiscal year</t>
  </si>
  <si>
    <t>Share price (Public Co)</t>
  </si>
  <si>
    <t>Most recent quarter end date</t>
  </si>
  <si>
    <t>Share price date</t>
  </si>
  <si>
    <t xml:space="preserve">Valuation date </t>
  </si>
  <si>
    <t>Midyear adjustment?</t>
  </si>
  <si>
    <t>Portion of year 1 cash flows in forecast</t>
  </si>
  <si>
    <t>Unlevered Free Cash Flows</t>
  </si>
  <si>
    <t>Forecasts</t>
  </si>
  <si>
    <t>Fiscal year ended</t>
  </si>
  <si>
    <t>Last period * (1+% growth)</t>
  </si>
  <si>
    <t>% growth</t>
  </si>
  <si>
    <t>EBITDA</t>
  </si>
  <si>
    <t>EBITDA % margin assumption x Revenue</t>
  </si>
  <si>
    <t>EBIT % margin assumption x Revenue</t>
  </si>
  <si>
    <t>Tax on EBIT</t>
  </si>
  <si>
    <t>Tax rate * EBIT</t>
  </si>
  <si>
    <t>NOPAT (aka EBIAT)</t>
  </si>
  <si>
    <t>EBIT - Taxes</t>
  </si>
  <si>
    <t>Depreciation &amp; amortization</t>
  </si>
  <si>
    <t>EBITDA - EBIT</t>
  </si>
  <si>
    <t>Changes in net working capital</t>
  </si>
  <si>
    <t>Last period WC - Current period WC</t>
  </si>
  <si>
    <t>Capital expenditures</t>
  </si>
  <si>
    <t>Capex as % of revenue * Revenue</t>
  </si>
  <si>
    <t>Unlevered free cash flows (UFCF)</t>
  </si>
  <si>
    <t>NOPAT + D&amp;A + Changes in NWC - Capex</t>
  </si>
  <si>
    <t>Revenue * NWC as % of revenue</t>
  </si>
  <si>
    <t>Val date</t>
  </si>
  <si>
    <t xml:space="preserve">Yr 1 - Stub </t>
  </si>
  <si>
    <t>Year 2</t>
  </si>
  <si>
    <t>Year 3</t>
  </si>
  <si>
    <t>Year 4</t>
  </si>
  <si>
    <t>Year 5</t>
  </si>
  <si>
    <t>Date for discounting cash flows</t>
  </si>
  <si>
    <t>Stub %</t>
  </si>
  <si>
    <t>Unlevered free cash flows (UFCF) stub adjusted</t>
  </si>
  <si>
    <t>&lt;-Stub year counts first year cash flows starting at the valuation date</t>
  </si>
  <si>
    <t>Present value of of unlevered free cash flows</t>
  </si>
  <si>
    <t>Terminal value - growth in perpetuity approach</t>
  </si>
  <si>
    <t>Terminal value - EBITDA multiple approach</t>
  </si>
  <si>
    <t>Long term growth rate</t>
  </si>
  <si>
    <t>Terminal year EBITDA</t>
  </si>
  <si>
    <t>EBITDA multiple</t>
  </si>
  <si>
    <t>Present value of terminal value</t>
  </si>
  <si>
    <t>Present value of stage 1 cash flows</t>
  </si>
  <si>
    <t>Total enterprise value (TEV)</t>
  </si>
  <si>
    <t>Enterprise value (stage 1 + 2)</t>
  </si>
  <si>
    <t>Terminal value as % of TEV</t>
  </si>
  <si>
    <t>Stage 1 cash flows as % of TEV</t>
  </si>
  <si>
    <t>Implied TV exit EBITDA multiple</t>
  </si>
  <si>
    <t>Implied terminal growth rate</t>
  </si>
  <si>
    <t>Net debt</t>
  </si>
  <si>
    <t>Shares outstanding</t>
  </si>
  <si>
    <t>Source doc</t>
  </si>
  <si>
    <t>Q1 2020 10Q</t>
  </si>
  <si>
    <t>Source date</t>
  </si>
  <si>
    <t>Date</t>
  </si>
  <si>
    <t>Shares</t>
  </si>
  <si>
    <t>Gross debt and equivalents</t>
  </si>
  <si>
    <t>Basic shares</t>
  </si>
  <si>
    <t>Debt</t>
  </si>
  <si>
    <t>Restricted stock / RSUs</t>
  </si>
  <si>
    <t>Convertible debt</t>
  </si>
  <si>
    <t>Options / warrants</t>
  </si>
  <si>
    <t>Preferred stock</t>
  </si>
  <si>
    <t>Noncontrolling (minority) interests</t>
  </si>
  <si>
    <t>Convertible preferred stock</t>
  </si>
  <si>
    <t>Nonoperating assets</t>
  </si>
  <si>
    <t>Net diluted shares outstanding</t>
  </si>
  <si>
    <t xml:space="preserve">Cash </t>
  </si>
  <si>
    <t xml:space="preserve">Equity investments </t>
  </si>
  <si>
    <t>Valuation</t>
  </si>
  <si>
    <t>Perpetuity</t>
  </si>
  <si>
    <t>Enterprise value</t>
  </si>
  <si>
    <t xml:space="preserve">Equity value </t>
  </si>
  <si>
    <t>Equity value per share</t>
  </si>
  <si>
    <t>Year 1 Multiples</t>
  </si>
  <si>
    <t>EV / Revenue</t>
  </si>
  <si>
    <t xml:space="preserve">EV / EBITDA </t>
  </si>
  <si>
    <t>EV / EBIT</t>
  </si>
  <si>
    <t>Outputs</t>
  </si>
  <si>
    <t>Year 1 EBITDA multiple</t>
  </si>
  <si>
    <t>Long term growth rate (g):</t>
  </si>
  <si>
    <t>WACC:</t>
  </si>
  <si>
    <t xml:space="preserve">Data </t>
  </si>
  <si>
    <t>Tables</t>
  </si>
  <si>
    <t>Exit EBITDA Multiple</t>
  </si>
  <si>
    <t>Equity value range</t>
  </si>
  <si>
    <t>Football field</t>
  </si>
  <si>
    <t>Low</t>
  </si>
  <si>
    <t>Diff.</t>
  </si>
  <si>
    <t>High</t>
  </si>
  <si>
    <t>52 Week Market High/Low</t>
  </si>
  <si>
    <t>&lt;-This will change if you reference WACC from the WACC worksheet</t>
  </si>
  <si>
    <t>&lt;-This will change if you reference illustrative options from Shares worksheet</t>
  </si>
  <si>
    <t>&lt;-This will change if you reference illustrative convertible debt from Shares worksheet</t>
  </si>
  <si>
    <t>&lt;-This will change if you reference illustrative convertible stock from Shares worksheet</t>
  </si>
  <si>
    <t>WACC Buildup</t>
  </si>
  <si>
    <t>Cost of capital assumptions</t>
  </si>
  <si>
    <t>Source</t>
  </si>
  <si>
    <t>Cost of debt</t>
  </si>
  <si>
    <t>Bloomberg - YTM on 2.2% 9/29 Bond</t>
  </si>
  <si>
    <t>From terminal year of UFCF forecast</t>
  </si>
  <si>
    <t>Cost of debt (after tax)</t>
  </si>
  <si>
    <t>Cost of debt x (1 - tax rate)</t>
  </si>
  <si>
    <t xml:space="preserve">Risk free rate </t>
  </si>
  <si>
    <t>WSJ: 10 Year US Treasury Yield</t>
  </si>
  <si>
    <t xml:space="preserve">Beta </t>
  </si>
  <si>
    <t>Bloomberg 2 year weekly adjusted beta</t>
  </si>
  <si>
    <t>Market risk premium</t>
  </si>
  <si>
    <t>Market risk premium from D&amp;P May 1, 2019</t>
  </si>
  <si>
    <t>Cost of equity</t>
  </si>
  <si>
    <t>RfR + Beta x MRP</t>
  </si>
  <si>
    <t>Capital weights (capital structure)</t>
  </si>
  <si>
    <t xml:space="preserve">Target </t>
  </si>
  <si>
    <t xml:space="preserve">Current </t>
  </si>
  <si>
    <t>(override)</t>
  </si>
  <si>
    <t>% of total</t>
  </si>
  <si>
    <t>Equity</t>
  </si>
  <si>
    <t>Cost of capital (WACC)</t>
  </si>
  <si>
    <t>WACC sensitivity to MRP and Beta</t>
  </si>
  <si>
    <t>Beta</t>
  </si>
  <si>
    <t>Market</t>
  </si>
  <si>
    <t>Risk</t>
  </si>
  <si>
    <t>Premium</t>
  </si>
  <si>
    <t>Select Beta for model</t>
  </si>
  <si>
    <t>Observed</t>
  </si>
  <si>
    <t>Industry beta</t>
  </si>
  <si>
    <t>From schedule below</t>
  </si>
  <si>
    <r>
      <t xml:space="preserve">Observed </t>
    </r>
    <r>
      <rPr>
        <sz val="11"/>
        <color theme="1"/>
        <rFont val="Symbol"/>
        <family val="1"/>
        <charset val="2"/>
      </rPr>
      <t>b</t>
    </r>
  </si>
  <si>
    <t>Share price</t>
  </si>
  <si>
    <t>Dil. shares</t>
  </si>
  <si>
    <t>Market cap</t>
  </si>
  <si>
    <r>
      <t xml:space="preserve">Delev. </t>
    </r>
    <r>
      <rPr>
        <sz val="11"/>
        <color theme="1"/>
        <rFont val="Symbol"/>
        <family val="1"/>
        <charset val="2"/>
      </rPr>
      <t>b</t>
    </r>
  </si>
  <si>
    <t>Microsoft MSFT</t>
  </si>
  <si>
    <t>Alphabet (GOOG)</t>
  </si>
  <si>
    <t>Amazon (AMZN)</t>
  </si>
  <si>
    <t>Apple (AAPL)</t>
  </si>
  <si>
    <t>Industry average delevered beta</t>
  </si>
  <si>
    <t>&lt;-Illustrative only - Apple doesn't have options</t>
  </si>
  <si>
    <t>&lt;-Illustrative only - Apple doesn't have convertible debt</t>
  </si>
  <si>
    <t>&lt;-Illustrative only - Apple doesn't have convertible preferred stock</t>
  </si>
  <si>
    <t>Company name</t>
  </si>
  <si>
    <t>Apple</t>
  </si>
  <si>
    <t>Select an operating scenario:</t>
  </si>
  <si>
    <t>Base case</t>
  </si>
  <si>
    <t>Ticker</t>
  </si>
  <si>
    <t>AAPL</t>
  </si>
  <si>
    <t>Circ break 1=off, 0=on</t>
  </si>
  <si>
    <t>Latest closing share price</t>
  </si>
  <si>
    <t>Latest closing share price date</t>
  </si>
  <si>
    <t>Latest fiscal year end date</t>
  </si>
  <si>
    <t>Shares outstanding (millions)</t>
  </si>
  <si>
    <t>INCOME STATEMENT</t>
  </si>
  <si>
    <t xml:space="preserve">Fiscal year  </t>
  </si>
  <si>
    <t>Fiscal year end date</t>
  </si>
  <si>
    <t>WSP Comments</t>
  </si>
  <si>
    <t>Previous year's revenues x (1+revenue growth rate)</t>
  </si>
  <si>
    <t>Cost of sales (enter as -)</t>
  </si>
  <si>
    <t>Plug = Revenue - Gross Profit</t>
  </si>
  <si>
    <t>Revenue x Gross Profit Margin forecast</t>
  </si>
  <si>
    <t>Research &amp; development (enter as -)</t>
  </si>
  <si>
    <t>Revenue x R&amp;D % of sales forecast</t>
  </si>
  <si>
    <t>Selling, general &amp; administrative (enter as -)</t>
  </si>
  <si>
    <t>Revenue x SG&amp;A % of sales forecast</t>
  </si>
  <si>
    <t>Operating profit (EBIT)</t>
  </si>
  <si>
    <t>Gross Profit - R&amp;D - SG&amp;A</t>
  </si>
  <si>
    <t>Interest income</t>
  </si>
  <si>
    <t>Reference from interest on cash schedule</t>
  </si>
  <si>
    <t>Interest expense (enter as -)</t>
  </si>
  <si>
    <t>Reference from interest expense schedule</t>
  </si>
  <si>
    <t>Other expense, net (enter as -)</t>
  </si>
  <si>
    <t>Straight-line</t>
  </si>
  <si>
    <t>Pretax profit</t>
  </si>
  <si>
    <t>EBIT + interest income less interest expense less other expense</t>
  </si>
  <si>
    <t>Taxes (enter expense as -)</t>
  </si>
  <si>
    <t>Pre-tax Profit x Tax Rate forecast</t>
  </si>
  <si>
    <t>Net income</t>
  </si>
  <si>
    <t>Pre-tax Profit less taxes</t>
  </si>
  <si>
    <t>Reference from D&amp;A schedule</t>
  </si>
  <si>
    <t>EBIT + D&amp;A</t>
  </si>
  <si>
    <t>Stock based compensation</t>
  </si>
  <si>
    <t>WSP assumption: grow SBC in-line with revenue growth</t>
  </si>
  <si>
    <t>EBITDA + Stock-based compensation</t>
  </si>
  <si>
    <t>Growth rates &amp; margins</t>
  </si>
  <si>
    <t>Revenue growth</t>
  </si>
  <si>
    <t>Consensus estimates through 2021; straight-line growth rate thereafter</t>
  </si>
  <si>
    <t>Gross profit margin</t>
  </si>
  <si>
    <t>Straight line last historical year</t>
  </si>
  <si>
    <t>R&amp;D % of sales</t>
  </si>
  <si>
    <t>SG&amp;A % of sales</t>
  </si>
  <si>
    <t>BALANCE SHEET</t>
  </si>
  <si>
    <t>Cash &amp; equivalents, ST and LT marketable securities</t>
  </si>
  <si>
    <t>Reference from 'net change in cash' line on the cash flow statement</t>
  </si>
  <si>
    <t>Accounts receivable</t>
  </si>
  <si>
    <t>Grow in-line with revenue growth</t>
  </si>
  <si>
    <t>Inventories</t>
  </si>
  <si>
    <t>Grow in-line with cost of sales growth</t>
  </si>
  <si>
    <t>Other current assets</t>
  </si>
  <si>
    <t>Property, plant &amp; equipment</t>
  </si>
  <si>
    <t>Reference from PP&amp;E schedule</t>
  </si>
  <si>
    <t>Other non current assets</t>
  </si>
  <si>
    <t>Total assets</t>
  </si>
  <si>
    <t>Accounts payable</t>
  </si>
  <si>
    <t>Other current liabilities</t>
  </si>
  <si>
    <t>Deferred revenue (current)</t>
  </si>
  <si>
    <t>Commercial paper / revolver</t>
  </si>
  <si>
    <t>Reference EOP balance from CP/revolver schedule</t>
  </si>
  <si>
    <t>Long term debt (includes current portion)</t>
  </si>
  <si>
    <t>WSP assumption: straight-line</t>
  </si>
  <si>
    <t>Other non current liabilities</t>
  </si>
  <si>
    <t>Total liabilities</t>
  </si>
  <si>
    <t>Common stock</t>
  </si>
  <si>
    <t>Increase by stock-based compensation forecasted in the I/S section</t>
  </si>
  <si>
    <t xml:space="preserve">Retained earnings </t>
  </si>
  <si>
    <t>Reference from Retained Earnings schedule</t>
  </si>
  <si>
    <t>Other comprehensive income</t>
  </si>
  <si>
    <t>Total equity</t>
  </si>
  <si>
    <t>Balance check</t>
  </si>
  <si>
    <t>CASH FLOW STATEMENT</t>
  </si>
  <si>
    <t>Depreciation and amortization</t>
  </si>
  <si>
    <t>Reference from the I/S</t>
  </si>
  <si>
    <t>Decreases / (Increases) in working capital assets</t>
  </si>
  <si>
    <t>Increases / (Decreases) in working capital liabilities</t>
  </si>
  <si>
    <t>Reference from schedule NOT the B/S: Only include 'Additions' (as outflow)</t>
  </si>
  <si>
    <t>Cash from operating activities</t>
  </si>
  <si>
    <t>Cash from investing activities</t>
  </si>
  <si>
    <t>Long term debt</t>
  </si>
  <si>
    <t>Commercial paper/ Revolver</t>
  </si>
  <si>
    <t>Reference from B/S</t>
  </si>
  <si>
    <t>Share repurchases</t>
  </si>
  <si>
    <t>Common dividends</t>
  </si>
  <si>
    <t>Cash from financing activities</t>
  </si>
  <si>
    <t>Net change in cash during period</t>
  </si>
  <si>
    <t>PROPERTY, PLANT &amp; EQUIPMENT</t>
  </si>
  <si>
    <t>Beginning of period</t>
  </si>
  <si>
    <t xml:space="preserve">BOP = Previous year EOP </t>
  </si>
  <si>
    <t>Plus: Capital expenditures</t>
  </si>
  <si>
    <t>First two years - consensus estimates, then grow with revenue</t>
  </si>
  <si>
    <t>Less: Depreciation</t>
  </si>
  <si>
    <t>Capex x 'D&amp;A related to PP&amp;E as a % of capex' ratio (below)</t>
  </si>
  <si>
    <t>End of period</t>
  </si>
  <si>
    <t>BOP + Capex - Depreciation</t>
  </si>
  <si>
    <t>Step</t>
  </si>
  <si>
    <t>D&amp;A related to PP&amp;E as a % of capex</t>
  </si>
  <si>
    <t>IMPUTING TOTAL DEPRECIATION &amp; AMORTIZATION</t>
  </si>
  <si>
    <r>
      <t xml:space="preserve">D&amp;A </t>
    </r>
    <r>
      <rPr>
        <u/>
        <sz val="11"/>
        <color theme="1"/>
        <rFont val="Calibri"/>
        <family val="2"/>
        <scheme val="minor"/>
      </rPr>
      <t>not</t>
    </r>
    <r>
      <rPr>
        <sz val="11"/>
        <color theme="1"/>
        <rFont val="Calibri"/>
        <family val="2"/>
        <scheme val="minor"/>
      </rPr>
      <t xml:space="preserve"> related to PP&amp;E</t>
    </r>
  </si>
  <si>
    <t>Revenue x 'as % of revenue' assumption</t>
  </si>
  <si>
    <t>Straight line last historical % of revenue - WSP assumption</t>
  </si>
  <si>
    <t xml:space="preserve">Depreciation &amp; Amortization - Total </t>
  </si>
  <si>
    <t>D&amp;A from PP&amp;E + D&amp;A not from PP&amp;E</t>
  </si>
  <si>
    <t>OTHER NON-CURRENT ASSETS</t>
  </si>
  <si>
    <t>Less: Amortization of intangible assets</t>
  </si>
  <si>
    <t xml:space="preserve">Assume all D&amp;A not from PP&amp;E is in non-current assets </t>
  </si>
  <si>
    <t xml:space="preserve">Plus: Additions </t>
  </si>
  <si>
    <t>Because we already know the EOP balance, this is a plug: EOP - D&amp;A not from PP&amp;E - BOP</t>
  </si>
  <si>
    <t>Referenced from balance sheet</t>
  </si>
  <si>
    <t>RETAINED EARNINGS</t>
  </si>
  <si>
    <t>Plus: Net income</t>
  </si>
  <si>
    <t>Reference from income statement</t>
  </si>
  <si>
    <t>Less: Dividends</t>
  </si>
  <si>
    <t>WSP assumption: Hold last historical year's dividend payout ratio constant</t>
  </si>
  <si>
    <t>Less: Repurchases</t>
  </si>
  <si>
    <t>WSP assumption: Straight-line last historical year repurchases</t>
  </si>
  <si>
    <t>BOP + net income - dividends - repurchases</t>
  </si>
  <si>
    <t>REVOLVER (MODEL PLUG)</t>
  </si>
  <si>
    <t>Revolver needs analysis</t>
  </si>
  <si>
    <t>Cash at beginning of period (BOP)</t>
  </si>
  <si>
    <t>Reference prior period EOP from B/S</t>
  </si>
  <si>
    <t>Less: Minimum cash balance</t>
  </si>
  <si>
    <t>WSP assumption</t>
  </si>
  <si>
    <t>Plus: Free cash flows generated during period</t>
  </si>
  <si>
    <r>
      <t xml:space="preserve">CFO + CFI + CFF </t>
    </r>
    <r>
      <rPr>
        <u/>
        <sz val="11"/>
        <color theme="1"/>
        <rFont val="Calibri"/>
        <family val="2"/>
        <scheme val="minor"/>
      </rPr>
      <t>except revolver</t>
    </r>
  </si>
  <si>
    <t>Equals: Cash available (needed) to pay down (draw from) revolver</t>
  </si>
  <si>
    <t>Commercial paper / Revolver</t>
  </si>
  <si>
    <t>Draw / (paydown)</t>
  </si>
  <si>
    <t xml:space="preserve">Cash (paydown) / additional borrowing from revolver. Paydown not to exceed BOP balance. </t>
  </si>
  <si>
    <t>Discretionary borrowing / (paydown)</t>
  </si>
  <si>
    <t>Debt balance:</t>
  </si>
  <si>
    <t>INTEREST EXPENSE AND INTEREST INCOME</t>
  </si>
  <si>
    <t>Total interest expense (from I/S)</t>
  </si>
  <si>
    <t>Interest expense from revolver/CP + interest expense from long term debt</t>
  </si>
  <si>
    <t>Commercial Paper / Revolver</t>
  </si>
  <si>
    <t>Weighted average interest rate</t>
  </si>
  <si>
    <t>WSP assumption: Straight-line</t>
  </si>
  <si>
    <t>End of period balance (from B/S)</t>
  </si>
  <si>
    <t>Reference from revolver / CP schedule above</t>
  </si>
  <si>
    <t>Interest expense</t>
  </si>
  <si>
    <t>Interest rate x average of BOP &amp; EOP revolver balances (circularity)</t>
  </si>
  <si>
    <t xml:space="preserve">Interest expense </t>
  </si>
  <si>
    <t>Interest rate x average of BOP &amp; EOP LTD balances</t>
  </si>
  <si>
    <t>Interest rate on cash</t>
  </si>
  <si>
    <t>Weighted average interest rate on cash</t>
  </si>
  <si>
    <t>Interest rate x average of BOP &amp; EOP cash balances (circularity)</t>
  </si>
  <si>
    <t>EARNINGS PER SHARE</t>
  </si>
  <si>
    <t>Reference from I/S</t>
  </si>
  <si>
    <t xml:space="preserve">Basic shares </t>
  </si>
  <si>
    <t>Last period basic shares + ($ shares issued - $ shares repurchased)/Current period average share price OR reference average Basic shares from schedule below</t>
  </si>
  <si>
    <t>Basic EPS</t>
  </si>
  <si>
    <t>Net income / Basic shares</t>
  </si>
  <si>
    <t>Diluted Shares</t>
  </si>
  <si>
    <t>Basic shares + Dilutive securities</t>
  </si>
  <si>
    <t>Diluted EPS</t>
  </si>
  <si>
    <t>Net income/Diluted Shares</t>
  </si>
  <si>
    <t>$ amount of shares repurchased</t>
  </si>
  <si>
    <t>Reference from RE schedule - treasury repurchases (flip sign)</t>
  </si>
  <si>
    <t>$ amount of new shares issued</t>
  </si>
  <si>
    <t xml:space="preserve">Reference SBC from I/S </t>
  </si>
  <si>
    <t>Average share price</t>
  </si>
  <si>
    <t>Last period share price x (1+growth rate)</t>
  </si>
  <si>
    <t>Share price increase</t>
  </si>
  <si>
    <t>WSP assumption OR grow with net income growth rate (calculated below)</t>
  </si>
  <si>
    <t>Optional analysis for calculating weighted average basic shares</t>
  </si>
  <si>
    <t>Basic Shares - BOP</t>
  </si>
  <si>
    <t>Reference from latest share count &gt;</t>
  </si>
  <si>
    <t xml:space="preserve">Link to prior year Basic shares - EOP </t>
  </si>
  <si>
    <t>Net change in basic shares</t>
  </si>
  <si>
    <t xml:space="preserve"> ($ shares issued - $ shares repurchased)/Current period average share price</t>
  </si>
  <si>
    <t>Basic shares - EOP</t>
  </si>
  <si>
    <t>Basic Shares - BOP + Net change in basic shares</t>
  </si>
  <si>
    <t>Basic shares - average</t>
  </si>
  <si>
    <t>Average(Basic Shares BOP,Basic Shares EOP)</t>
  </si>
  <si>
    <t>SCENARIO ANALYSIS</t>
  </si>
  <si>
    <t>Active case:</t>
  </si>
  <si>
    <t xml:space="preserve">Variance from </t>
  </si>
  <si>
    <t>base case</t>
  </si>
  <si>
    <t>Best case</t>
  </si>
  <si>
    <t>NM</t>
  </si>
  <si>
    <t>Weak case</t>
  </si>
  <si>
    <t>Link from WACC</t>
  </si>
  <si>
    <t>Source: CIQ</t>
  </si>
  <si>
    <t>Portion of First Year Cash Flows</t>
  </si>
  <si>
    <t>Case active:</t>
  </si>
  <si>
    <t>Cash flows as % of TEV</t>
  </si>
  <si>
    <t>&lt;-These are for illustrative purposes, Apple doesn't have options</t>
  </si>
  <si>
    <t>&lt;-These are for illustrative purposes, Apple doesn't have convertible debt</t>
  </si>
  <si>
    <t>&lt;-These are for illustrative purposes, Apple doesn't have convertible preferred stock</t>
  </si>
  <si>
    <t>Last twelve months (LTM)</t>
  </si>
  <si>
    <t>Year 1</t>
  </si>
  <si>
    <t>LTM EBITDA multiple</t>
  </si>
  <si>
    <t>CAGR</t>
  </si>
  <si>
    <t>Sources &amp; Uses</t>
  </si>
  <si>
    <t xml:space="preserve">New $5M Revolver </t>
  </si>
  <si>
    <t>Term Loan</t>
  </si>
  <si>
    <t xml:space="preserve">Total Sources </t>
  </si>
  <si>
    <t>$</t>
  </si>
  <si>
    <t>%</t>
  </si>
  <si>
    <t>xEBITDA</t>
  </si>
  <si>
    <t>Sources</t>
  </si>
  <si>
    <t>Uses</t>
  </si>
  <si>
    <t>Refinance Existing Debt</t>
  </si>
  <si>
    <t>Fund Prepayment Fees</t>
  </si>
  <si>
    <t xml:space="preserve">Refinance Pref.A Capital </t>
  </si>
  <si>
    <t xml:space="preserve">Trasnaction Exp. </t>
  </si>
  <si>
    <t xml:space="preserve">Excess Cash </t>
  </si>
  <si>
    <t>Total Uses</t>
  </si>
  <si>
    <t>Assets:</t>
  </si>
  <si>
    <t>A/R</t>
  </si>
  <si>
    <t>Prepaid Expenses</t>
  </si>
  <si>
    <t>Other Current Assets</t>
  </si>
  <si>
    <t>Current Assets</t>
  </si>
  <si>
    <t>Debt Issuance Costs (EWB)</t>
  </si>
  <si>
    <t>Other Non-Current Assets</t>
  </si>
  <si>
    <t>Total Assets</t>
  </si>
  <si>
    <t>Liabilities:</t>
  </si>
  <si>
    <t>Current Liabilities</t>
  </si>
  <si>
    <t>Existing Credit Facilities</t>
  </si>
  <si>
    <t>Existing Debt Issuance Costs</t>
  </si>
  <si>
    <t>(In thousands)</t>
  </si>
  <si>
    <t>Adjustments</t>
  </si>
  <si>
    <t>New Term Loan</t>
  </si>
  <si>
    <t xml:space="preserve">New Revolver </t>
  </si>
  <si>
    <t>Deferred Financing Fees</t>
  </si>
  <si>
    <t xml:space="preserve">Class A Pref. </t>
  </si>
  <si>
    <t xml:space="preserve">Class B Pref. </t>
  </si>
  <si>
    <t>PPP Sloan SBA EIDL</t>
  </si>
  <si>
    <t>Other Non-Current Liabilities</t>
  </si>
  <si>
    <t>Total Liabilities</t>
  </si>
  <si>
    <t>PF Balance Sheet</t>
  </si>
  <si>
    <t>Accounts Payable</t>
  </si>
  <si>
    <t>Accrued Expenses</t>
  </si>
  <si>
    <t>Deferred Revenue</t>
  </si>
  <si>
    <t>Customer Deposits</t>
  </si>
  <si>
    <t xml:space="preserve">Credit Cards </t>
  </si>
  <si>
    <t>Other Current Liabilities</t>
  </si>
  <si>
    <t>*For class: Fill in historical balance sheet</t>
  </si>
  <si>
    <t>*For class: Fill in historicals</t>
  </si>
  <si>
    <t>*Fill in sources &amp; Uses</t>
  </si>
  <si>
    <t>Total Equity</t>
  </si>
  <si>
    <t xml:space="preserve">Working Capital </t>
  </si>
  <si>
    <t xml:space="preserve">Accounts Receivable </t>
  </si>
  <si>
    <t xml:space="preserve">Beginning Period </t>
  </si>
  <si>
    <t xml:space="preserve">End of Period </t>
  </si>
  <si>
    <t xml:space="preserve">Increase / Decrease </t>
  </si>
  <si>
    <t xml:space="preserve">AR % of Sales </t>
  </si>
  <si>
    <t>Days Sales Outstanding</t>
  </si>
  <si>
    <t xml:space="preserve">Prepaid % of Sales </t>
  </si>
  <si>
    <t>Accounts Payables</t>
  </si>
  <si>
    <t>AP % of COGS</t>
  </si>
  <si>
    <t>Days payables Outstanding</t>
  </si>
  <si>
    <t>Accrued Expense</t>
  </si>
  <si>
    <t xml:space="preserve">Accured Expense % of Sales </t>
  </si>
  <si>
    <t>Deferred % of Sales</t>
  </si>
  <si>
    <t>*Create cap table&amp;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</si>
</sst>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7" formatCode="&quot;$&quot;#,##0.00_);\(&quot;$&quot;#,##0.00\)"/>
    <numFmt numFmtId="8" formatCode="&quot;$&quot;#,##0.00_);[Red]\(&quot;$&quot;#,##0.00\)"/>
    <numFmt numFmtId="165" formatCode="0.0%"/>
    <numFmt numFmtId="167" formatCode="#,##0_);\(#,##0\);@_)"/>
    <numFmt numFmtId="168" formatCode="_(#,##0.0%_);\(#,##0.0%\);_(&quot;–&quot;_)_%;_(@_)_%"/>
    <numFmt numFmtId="169" formatCode="0.0%_);\(0.0%\);@_)"/>
    <numFmt numFmtId="170" formatCode="m/d/yy;@"/>
    <numFmt numFmtId="171" formatCode="0000\A"/>
    <numFmt numFmtId="172" formatCode="0000\P"/>
    <numFmt numFmtId="173" formatCode="0.0\x_);\(0.0\x\);@_)"/>
    <numFmt numFmtId="174" formatCode="0.000%_);\(0.000%\);@_)"/>
    <numFmt numFmtId="175" formatCode="#,##0.000_);\(#,##0.000\);@_)"/>
    <numFmt numFmtId="176" formatCode="#,##0.000_);\(#,##0.000\)"/>
    <numFmt numFmtId="177" formatCode="#,##0.000"/>
    <numFmt numFmtId="178" formatCode="_([$$]#,##0_)_%;\([$$]#,##0\)_%;_(&quot;–&quot;_)_%;_(@_)_%"/>
    <numFmt numFmtId="179" formatCode="&quot;$&quot;#,##0.00_);\(&quot;$&quot;#,##0.00\);@_)"/>
    <numFmt numFmtId="180" formatCode="_(0.0_)_'_x;_(\(0.0\)_';_(&quot;–&quot;_)_%;_(@_)_%"/>
    <numFmt numFmtId="181" formatCode="_(0.0\x_)_';_(\(0.0\x\)_';_(&quot;–&quot;_)_%;_(@_)_%"/>
    <numFmt numFmtId="182" formatCode="#,##0.00_);\(#,##0.00\);\-_);@_)"/>
    <numFmt numFmtId="183" formatCode="#,##0.0_);\(#,##0.0\);\-_);@_)"/>
    <numFmt numFmtId="184" formatCode="_(#,##0.00%_);\(#,##0.00%\);_(&quot;–&quot;_)_%;_(@_)_%"/>
    <numFmt numFmtId="185" formatCode="#,##0.0_);\(#,##0.0\);@_)"/>
    <numFmt numFmtId="186" formatCode="0.000"/>
    <numFmt numFmtId="189" formatCode="_(#,##0_)_%;\(#,##0\)_%;_(&quot;–&quot;_)_%;_(@_)_%"/>
    <numFmt numFmtId="190" formatCode="0\A;[Red]0\A"/>
    <numFmt numFmtId="191" formatCode="0\P_);\(0\P\)"/>
    <numFmt numFmtId="192" formatCode="0.00%_);\(0.00%\);@_)"/>
    <numFmt numFmtId="193" formatCode="0%_);\(0%\);@_)"/>
  </numFmts>
  <fonts count="3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rgb="FF0000FF"/>
      <name val="Calibri"/>
      <family val="2"/>
      <scheme val="minor"/>
    </font>
    <font>
      <i/>
      <sz val="11"/>
      <color theme="1"/>
      <name val="Calibri"/>
      <family val="2"/>
      <scheme val="minor"/>
    </font>
    <font>
      <b/>
      <i/>
      <sz val="11"/>
      <color theme="1"/>
      <name val="Calibri"/>
      <family val="2"/>
      <scheme val="minor"/>
    </font>
    <font>
      <b/>
      <u/>
      <sz val="11"/>
      <color theme="1"/>
      <name val="Calibri"/>
      <family val="2"/>
      <scheme val="minor"/>
    </font>
    <font>
      <i/>
      <u/>
      <sz val="11"/>
      <color theme="1"/>
      <name val="Calibri"/>
      <family val="2"/>
      <scheme val="minor"/>
    </font>
    <font>
      <u/>
      <sz val="11"/>
      <color theme="1"/>
      <name val="Calibri"/>
      <family val="2"/>
      <scheme val="minor"/>
    </font>
    <font>
      <sz val="9"/>
      <color indexed="81"/>
      <name val="Tahoma"/>
      <family val="2"/>
    </font>
    <font>
      <b/>
      <sz val="9"/>
      <color indexed="81"/>
      <name val="Tahoma"/>
      <family val="2"/>
    </font>
    <font>
      <b/>
      <sz val="11"/>
      <color rgb="FF0000FF"/>
      <name val="Calibri"/>
      <family val="2"/>
      <scheme val="minor"/>
    </font>
    <font>
      <b/>
      <sz val="11"/>
      <name val="Calibri"/>
      <family val="2"/>
      <scheme val="minor"/>
    </font>
    <font>
      <i/>
      <sz val="11"/>
      <color rgb="FF0000FF"/>
      <name val="Calibri"/>
      <family val="2"/>
      <scheme val="minor"/>
    </font>
    <font>
      <i/>
      <sz val="10"/>
      <color theme="1"/>
      <name val="Calibri"/>
      <family val="2"/>
      <scheme val="minor"/>
    </font>
    <font>
      <u val="singleAccounting"/>
      <sz val="11"/>
      <color theme="1"/>
      <name val="Calibri"/>
      <family val="2"/>
      <scheme val="minor"/>
    </font>
    <font>
      <sz val="11"/>
      <color rgb="FF000000"/>
      <name val="Calibri"/>
      <family val="2"/>
      <scheme val="minor"/>
    </font>
    <font>
      <i/>
      <sz val="9"/>
      <color rgb="FF000000"/>
      <name val="Calibri"/>
      <family val="2"/>
      <scheme val="minor"/>
    </font>
    <font>
      <u/>
      <sz val="11"/>
      <color theme="10"/>
      <name val="Calibri"/>
      <family val="2"/>
      <scheme val="minor"/>
    </font>
    <font>
      <b/>
      <u/>
      <sz val="11"/>
      <color rgb="FF0000FF"/>
      <name val="Calibri"/>
      <family val="2"/>
      <scheme val="minor"/>
    </font>
    <font>
      <sz val="11"/>
      <color rgb="FF008000"/>
      <name val="Calibri"/>
      <family val="2"/>
      <scheme val="minor"/>
    </font>
    <font>
      <u val="singleAccounting"/>
      <sz val="11"/>
      <color rgb="FF000000"/>
      <name val="Calibri"/>
      <family val="2"/>
      <scheme val="minor"/>
    </font>
    <font>
      <b/>
      <sz val="11"/>
      <color rgb="FF000000"/>
      <name val="Calibri"/>
      <family val="2"/>
      <scheme val="minor"/>
    </font>
    <font>
      <u/>
      <sz val="11"/>
      <color rgb="FF000000"/>
      <name val="Calibri"/>
      <family val="2"/>
      <scheme val="minor"/>
    </font>
    <font>
      <u/>
      <sz val="11"/>
      <color rgb="FF0000FF"/>
      <name val="Calibri"/>
      <family val="2"/>
      <scheme val="minor"/>
    </font>
    <font>
      <b/>
      <u val="singleAccounting"/>
      <sz val="11"/>
      <color theme="1"/>
      <name val="Calibri"/>
      <family val="2"/>
      <scheme val="minor"/>
    </font>
    <font>
      <b/>
      <u/>
      <sz val="11"/>
      <color rgb="FF0070C0"/>
      <name val="Calibri"/>
      <family val="2"/>
      <scheme val="minor"/>
    </font>
    <font>
      <sz val="11"/>
      <color theme="1"/>
      <name val="Symbol"/>
      <family val="1"/>
      <charset val="2"/>
    </font>
    <font>
      <i/>
      <sz val="11"/>
      <color rgb="FF000000"/>
      <name val="Calibri"/>
      <family val="2"/>
      <scheme val="minor"/>
    </font>
    <font>
      <sz val="9"/>
      <color rgb="FF008000"/>
      <name val="Calibri"/>
      <family val="2"/>
      <scheme val="minor"/>
    </font>
    <font>
      <sz val="8"/>
      <color rgb="FFFF0000"/>
      <name val="Calibri"/>
      <family val="2"/>
      <scheme val="minor"/>
    </font>
    <font>
      <sz val="11"/>
      <color rgb="FF000000"/>
      <name val="Times New Roman"/>
      <family val="1"/>
    </font>
    <font>
      <sz val="11"/>
      <name val="Calibri"/>
      <family val="2"/>
      <scheme val="minor"/>
    </font>
    <font>
      <b/>
      <sz val="9"/>
      <color theme="1"/>
      <name val="Calibri"/>
      <family val="2"/>
      <scheme val="minor"/>
    </font>
    <font>
      <sz val="10"/>
      <name val="Times New Roman"/>
      <family val="1"/>
    </font>
    <font>
      <b/>
      <i/>
      <sz val="11"/>
      <color theme="0"/>
      <name val="Calibri"/>
      <family val="2"/>
      <scheme val="minor"/>
    </font>
  </fonts>
  <fills count="11">
    <fill>
      <patternFill patternType="none"/>
    </fill>
    <fill>
      <patternFill patternType="gray125"/>
    </fill>
    <fill>
      <patternFill patternType="solid">
        <fgColor rgb="FFFFFFCC"/>
        <bgColor indexed="64"/>
      </patternFill>
    </fill>
    <fill>
      <patternFill patternType="solid">
        <fgColor theme="1"/>
        <bgColor indexed="64"/>
      </patternFill>
    </fill>
    <fill>
      <patternFill patternType="solid">
        <fgColor rgb="FFC9DAF8"/>
        <bgColor rgb="FF000000"/>
      </patternFill>
    </fill>
    <fill>
      <patternFill patternType="solid">
        <fgColor rgb="FFD2F2FF"/>
        <bgColor rgb="FF000000"/>
      </patternFill>
    </fill>
    <fill>
      <patternFill patternType="solid">
        <fgColor rgb="FFCCFFFF"/>
        <bgColor indexed="64"/>
      </patternFill>
    </fill>
    <fill>
      <patternFill patternType="solid">
        <fgColor rgb="FFC0C0C0"/>
        <bgColor indexed="64"/>
      </patternFill>
    </fill>
    <fill>
      <patternFill patternType="solid">
        <fgColor rgb="FFC9DAF8"/>
        <bgColor indexed="64"/>
      </patternFill>
    </fill>
    <fill>
      <patternFill patternType="solid">
        <fgColor rgb="FFFCE5CD"/>
        <bgColor indexed="64"/>
      </patternFill>
    </fill>
    <fill>
      <patternFill patternType="solid">
        <fgColor theme="0" tint="-4.9989318521683403E-2"/>
        <bgColor indexed="64"/>
      </patternFill>
    </fill>
  </fills>
  <borders count="51">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ashDotDot">
        <color auto="1"/>
      </left>
      <right style="dashDotDot">
        <color auto="1"/>
      </right>
      <top style="thin">
        <color auto="1"/>
      </top>
      <bottom/>
      <diagonal/>
    </border>
    <border>
      <left style="dashDotDot">
        <color auto="1"/>
      </left>
      <right style="dashDotDot">
        <color auto="1"/>
      </right>
      <top style="thin">
        <color auto="1"/>
      </top>
      <bottom style="thin">
        <color auto="1"/>
      </bottom>
      <diagonal/>
    </border>
    <border>
      <left style="dashDotDot">
        <color auto="1"/>
      </left>
      <right style="dashDotDot">
        <color auto="1"/>
      </right>
      <top/>
      <bottom/>
      <diagonal/>
    </border>
    <border>
      <left style="dashDotDot">
        <color auto="1"/>
      </left>
      <right style="dashDotDot">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tted">
        <color auto="1"/>
      </left>
      <right style="dotted">
        <color auto="1"/>
      </right>
      <top style="thin">
        <color auto="1"/>
      </top>
      <bottom style="dashDotDot">
        <color auto="1"/>
      </bottom>
      <diagonal/>
    </border>
    <border>
      <left/>
      <right/>
      <top style="medium">
        <color rgb="FF000000"/>
      </top>
      <bottom style="medium">
        <color rgb="FF000000"/>
      </bottom>
      <diagonal/>
    </border>
    <border>
      <left/>
      <right/>
      <top/>
      <bottom style="hair">
        <color rgb="FF000000"/>
      </bottom>
      <diagonal/>
    </border>
    <border>
      <left/>
      <right/>
      <top style="medium">
        <color rgb="FF000000"/>
      </top>
      <bottom/>
      <diagonal/>
    </border>
    <border>
      <left style="hair">
        <color rgb="FF000000"/>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bottom/>
      <diagonal/>
    </border>
    <border>
      <left/>
      <right/>
      <top style="hair">
        <color rgb="FF000000"/>
      </top>
      <bottom/>
      <diagonal/>
    </border>
    <border>
      <left style="hair">
        <color rgb="FF000000"/>
      </left>
      <right/>
      <top/>
      <bottom/>
      <diagonal/>
    </border>
    <border>
      <left style="hair">
        <color rgb="FF000000"/>
      </left>
      <right style="hair">
        <color rgb="FF000000"/>
      </right>
      <top/>
      <bottom style="hair">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hair">
        <color rgb="FF000000"/>
      </left>
      <right/>
      <top/>
      <bottom style="thin">
        <color rgb="FF000000"/>
      </bottom>
      <diagonal/>
    </border>
    <border>
      <left/>
      <right/>
      <top style="thin">
        <color rgb="FF000000"/>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hair">
        <color rgb="FF000000"/>
      </left>
      <right style="thin">
        <color rgb="FF000000"/>
      </right>
      <top/>
      <bottom/>
      <diagonal/>
    </border>
    <border>
      <left/>
      <right/>
      <top style="thin">
        <color rgb="FF000000"/>
      </top>
      <bottom style="medium">
        <color rgb="FF000000"/>
      </bottom>
      <diagonal/>
    </border>
    <border>
      <left/>
      <right style="hair">
        <color rgb="FF000000"/>
      </right>
      <top/>
      <bottom/>
      <diagonal/>
    </border>
    <border>
      <left style="hair">
        <color rgb="FF000000"/>
      </left>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4">
    <xf numFmtId="0" fontId="0" fillId="0" borderId="0"/>
    <xf numFmtId="9" fontId="1" fillId="0" borderId="0" applyFont="0" applyFill="0" applyBorder="0" applyAlignment="0" applyProtection="0"/>
    <xf numFmtId="0" fontId="19" fillId="0" borderId="0" applyNumberFormat="0" applyFill="0" applyBorder="0" applyAlignment="0" applyProtection="0"/>
    <xf numFmtId="37" fontId="35" fillId="0" borderId="0"/>
  </cellStyleXfs>
  <cellXfs count="380">
    <xf numFmtId="0" fontId="0" fillId="0" borderId="0" xfId="0"/>
    <xf numFmtId="14" fontId="0" fillId="0" borderId="0" xfId="0" applyNumberFormat="1"/>
    <xf numFmtId="0" fontId="0" fillId="0" borderId="0" xfId="0" applyAlignment="1">
      <alignment horizontal="centerContinuous"/>
    </xf>
    <xf numFmtId="14" fontId="4" fillId="2" borderId="4" xfId="0" applyNumberFormat="1" applyFont="1" applyFill="1" applyBorder="1"/>
    <xf numFmtId="14" fontId="0" fillId="0" borderId="4" xfId="0" applyNumberFormat="1" applyBorder="1"/>
    <xf numFmtId="0" fontId="0" fillId="0" borderId="4" xfId="0" applyBorder="1"/>
    <xf numFmtId="0" fontId="0" fillId="0" borderId="2" xfId="0" applyBorder="1"/>
    <xf numFmtId="0" fontId="2" fillId="3" borderId="0" xfId="0" applyFont="1" applyFill="1"/>
    <xf numFmtId="0" fontId="2" fillId="3" borderId="2" xfId="0" applyFont="1" applyFill="1" applyBorder="1" applyAlignment="1">
      <alignment horizontal="centerContinuous"/>
    </xf>
    <xf numFmtId="0" fontId="2" fillId="3" borderId="1" xfId="0" applyFont="1" applyFill="1" applyBorder="1" applyAlignment="1">
      <alignment horizontal="centerContinuous"/>
    </xf>
    <xf numFmtId="0" fontId="2" fillId="3" borderId="3" xfId="0" applyFont="1" applyFill="1" applyBorder="1" applyAlignment="1">
      <alignment horizontal="centerContinuous"/>
    </xf>
    <xf numFmtId="0" fontId="3" fillId="0" borderId="0" xfId="0" applyFont="1"/>
    <xf numFmtId="0" fontId="3" fillId="0" borderId="5" xfId="0" applyFont="1" applyBorder="1"/>
    <xf numFmtId="0" fontId="3" fillId="0" borderId="2" xfId="0" applyFont="1" applyBorder="1"/>
    <xf numFmtId="0" fontId="0" fillId="0" borderId="0" xfId="0" applyFont="1" applyFill="1" applyBorder="1"/>
    <xf numFmtId="0" fontId="3" fillId="0" borderId="5" xfId="0" applyFont="1" applyFill="1" applyBorder="1"/>
    <xf numFmtId="0" fontId="3" fillId="0" borderId="0" xfId="0" applyFont="1" applyBorder="1"/>
    <xf numFmtId="0" fontId="0" fillId="0" borderId="0" xfId="0" applyBorder="1"/>
    <xf numFmtId="14" fontId="4" fillId="2" borderId="10" xfId="0" applyNumberFormat="1" applyFont="1" applyFill="1" applyBorder="1"/>
    <xf numFmtId="0" fontId="3" fillId="0" borderId="11" xfId="0" applyFont="1" applyBorder="1"/>
    <xf numFmtId="0" fontId="0" fillId="0" borderId="12" xfId="0" applyBorder="1"/>
    <xf numFmtId="0" fontId="0" fillId="0" borderId="11" xfId="0" applyBorder="1"/>
    <xf numFmtId="0" fontId="3" fillId="0" borderId="9" xfId="0" applyFont="1" applyBorder="1"/>
    <xf numFmtId="0" fontId="3" fillId="0" borderId="12" xfId="0" applyFont="1" applyBorder="1"/>
    <xf numFmtId="0" fontId="5" fillId="0" borderId="0" xfId="0" applyFont="1"/>
    <xf numFmtId="0" fontId="3" fillId="0" borderId="4" xfId="0" applyFont="1" applyBorder="1"/>
    <xf numFmtId="0" fontId="8" fillId="0" borderId="5" xfId="0" applyFont="1" applyBorder="1"/>
    <xf numFmtId="0" fontId="9" fillId="0" borderId="5" xfId="0" applyFont="1" applyBorder="1"/>
    <xf numFmtId="0" fontId="8" fillId="0" borderId="0" xfId="0" applyFont="1" applyBorder="1"/>
    <xf numFmtId="0" fontId="7" fillId="0" borderId="0" xfId="0" applyFont="1"/>
    <xf numFmtId="0" fontId="9" fillId="0" borderId="0" xfId="0" applyFont="1"/>
    <xf numFmtId="0" fontId="4" fillId="0" borderId="0" xfId="0" applyFont="1"/>
    <xf numFmtId="0" fontId="6" fillId="0" borderId="0" xfId="0" applyFont="1"/>
    <xf numFmtId="14" fontId="0" fillId="0" borderId="0" xfId="0" applyNumberFormat="1" applyBorder="1"/>
    <xf numFmtId="0" fontId="6" fillId="0" borderId="0" xfId="0" applyFont="1" applyBorder="1"/>
    <xf numFmtId="165" fontId="5" fillId="0" borderId="0" xfId="1" applyNumberFormat="1" applyFont="1"/>
    <xf numFmtId="165" fontId="5" fillId="0" borderId="0" xfId="0" applyNumberFormat="1" applyFont="1"/>
    <xf numFmtId="0" fontId="0" fillId="0" borderId="15" xfId="0" applyBorder="1"/>
    <xf numFmtId="0" fontId="4" fillId="0" borderId="14" xfId="0" applyFont="1" applyBorder="1"/>
    <xf numFmtId="0" fontId="13" fillId="0" borderId="13" xfId="0" applyFont="1" applyBorder="1"/>
    <xf numFmtId="0" fontId="3" fillId="0" borderId="16" xfId="0" applyFont="1" applyBorder="1"/>
    <xf numFmtId="3" fontId="3" fillId="0" borderId="0" xfId="0" applyNumberFormat="1" applyFont="1"/>
    <xf numFmtId="3" fontId="0" fillId="0" borderId="2" xfId="0" applyNumberFormat="1" applyBorder="1"/>
    <xf numFmtId="3" fontId="3" fillId="0" borderId="5" xfId="0" applyNumberFormat="1" applyFont="1" applyBorder="1"/>
    <xf numFmtId="3" fontId="0" fillId="0" borderId="0" xfId="0" applyNumberFormat="1"/>
    <xf numFmtId="165" fontId="14" fillId="0" borderId="0" xfId="0" applyNumberFormat="1" applyFont="1"/>
    <xf numFmtId="0" fontId="12" fillId="2" borderId="0" xfId="0" applyFont="1" applyFill="1"/>
    <xf numFmtId="0" fontId="3" fillId="0" borderId="17" xfId="0" applyFont="1" applyBorder="1"/>
    <xf numFmtId="0" fontId="0" fillId="0" borderId="17" xfId="0" applyBorder="1"/>
    <xf numFmtId="0" fontId="15" fillId="0" borderId="0" xfId="0" applyFont="1"/>
    <xf numFmtId="0" fontId="16" fillId="0" borderId="0" xfId="0" applyFont="1" applyAlignment="1">
      <alignment horizontal="centerContinuous"/>
    </xf>
    <xf numFmtId="0" fontId="3" fillId="0" borderId="18" xfId="0" applyFont="1" applyBorder="1"/>
    <xf numFmtId="167" fontId="12" fillId="0" borderId="0" xfId="0" applyNumberFormat="1" applyFont="1"/>
    <xf numFmtId="37" fontId="3" fillId="0" borderId="0" xfId="0" applyNumberFormat="1" applyFont="1"/>
    <xf numFmtId="0" fontId="0" fillId="0" borderId="0" xfId="0" applyAlignment="1">
      <alignment horizontal="left" indent="1"/>
    </xf>
    <xf numFmtId="168" fontId="4" fillId="0" borderId="0" xfId="0" applyNumberFormat="1" applyFont="1"/>
    <xf numFmtId="37" fontId="0" fillId="0" borderId="0" xfId="0" applyNumberFormat="1"/>
    <xf numFmtId="169" fontId="4" fillId="0" borderId="0" xfId="0" applyNumberFormat="1" applyFont="1"/>
    <xf numFmtId="167" fontId="4" fillId="0" borderId="0" xfId="0" applyNumberFormat="1" applyFont="1"/>
    <xf numFmtId="168" fontId="17" fillId="0" borderId="0" xfId="0" applyNumberFormat="1" applyFont="1"/>
    <xf numFmtId="0" fontId="3" fillId="0" borderId="19" xfId="0" applyFont="1" applyBorder="1"/>
    <xf numFmtId="0" fontId="18" fillId="0" borderId="19" xfId="0" applyFont="1" applyBorder="1"/>
    <xf numFmtId="14" fontId="4" fillId="4" borderId="0" xfId="0" applyNumberFormat="1" applyFont="1" applyFill="1"/>
    <xf numFmtId="169" fontId="4" fillId="4" borderId="0" xfId="0" applyNumberFormat="1" applyFont="1" applyFill="1"/>
    <xf numFmtId="14" fontId="17" fillId="4" borderId="0" xfId="0" applyNumberFormat="1" applyFont="1" applyFill="1"/>
    <xf numFmtId="7" fontId="4" fillId="4" borderId="0" xfId="0" applyNumberFormat="1" applyFont="1" applyFill="1"/>
    <xf numFmtId="14" fontId="4" fillId="4" borderId="0" xfId="0" applyNumberFormat="1" applyFont="1" applyFill="1" applyAlignment="1">
      <alignment horizontal="right"/>
    </xf>
    <xf numFmtId="0" fontId="19" fillId="0" borderId="0" xfId="2" applyBorder="1"/>
    <xf numFmtId="167" fontId="20" fillId="4" borderId="20" xfId="0" applyNumberFormat="1" applyFont="1" applyFill="1" applyBorder="1" applyAlignment="1">
      <alignment horizontal="center"/>
    </xf>
    <xf numFmtId="168" fontId="17" fillId="4" borderId="0" xfId="0" applyNumberFormat="1" applyFont="1" applyFill="1"/>
    <xf numFmtId="7" fontId="21" fillId="0" borderId="0" xfId="0" applyNumberFormat="1" applyFont="1" applyAlignment="1">
      <alignment horizontal="right"/>
    </xf>
    <xf numFmtId="0" fontId="0" fillId="0" borderId="18" xfId="0" applyBorder="1"/>
    <xf numFmtId="7" fontId="21" fillId="0" borderId="18" xfId="0" applyNumberFormat="1" applyFont="1" applyBorder="1" applyAlignment="1">
      <alignment horizontal="right"/>
    </xf>
    <xf numFmtId="0" fontId="22" fillId="0" borderId="21" xfId="0" applyFont="1" applyBorder="1" applyAlignment="1">
      <alignment horizontal="centerContinuous"/>
    </xf>
    <xf numFmtId="14" fontId="0" fillId="0" borderId="0" xfId="0" applyNumberFormat="1" applyAlignment="1">
      <alignment horizontal="center"/>
    </xf>
    <xf numFmtId="170" fontId="0" fillId="4" borderId="22" xfId="0" applyNumberFormat="1" applyFill="1" applyBorder="1" applyAlignment="1">
      <alignment horizontal="center"/>
    </xf>
    <xf numFmtId="170" fontId="0" fillId="4" borderId="23" xfId="0" applyNumberFormat="1" applyFill="1" applyBorder="1" applyAlignment="1">
      <alignment horizontal="center"/>
    </xf>
    <xf numFmtId="171" fontId="3" fillId="0" borderId="22" xfId="0" applyNumberFormat="1" applyFont="1" applyBorder="1"/>
    <xf numFmtId="172" fontId="3" fillId="0" borderId="0" xfId="0" applyNumberFormat="1" applyFont="1"/>
    <xf numFmtId="167" fontId="17" fillId="0" borderId="0" xfId="0" applyNumberFormat="1" applyFont="1"/>
    <xf numFmtId="167" fontId="4" fillId="4" borderId="22" xfId="0" applyNumberFormat="1" applyFont="1" applyFill="1" applyBorder="1"/>
    <xf numFmtId="167" fontId="17" fillId="4" borderId="0" xfId="0" applyNumberFormat="1" applyFont="1" applyFill="1"/>
    <xf numFmtId="0" fontId="0" fillId="4" borderId="22" xfId="0" applyFill="1" applyBorder="1"/>
    <xf numFmtId="168" fontId="4" fillId="4" borderId="0" xfId="0" applyNumberFormat="1" applyFont="1" applyFill="1"/>
    <xf numFmtId="167" fontId="17" fillId="4" borderId="22" xfId="0" applyNumberFormat="1" applyFont="1" applyFill="1" applyBorder="1"/>
    <xf numFmtId="168" fontId="17" fillId="4" borderId="22" xfId="0" applyNumberFormat="1" applyFont="1" applyFill="1" applyBorder="1"/>
    <xf numFmtId="167" fontId="21" fillId="0" borderId="22" xfId="0" applyNumberFormat="1" applyFont="1" applyBorder="1"/>
    <xf numFmtId="167" fontId="21" fillId="0" borderId="0" xfId="0" applyNumberFormat="1" applyFont="1"/>
    <xf numFmtId="169" fontId="4" fillId="4" borderId="24" xfId="0" applyNumberFormat="1" applyFont="1" applyFill="1" applyBorder="1"/>
    <xf numFmtId="167" fontId="23" fillId="4" borderId="24" xfId="0" applyNumberFormat="1" applyFont="1" applyFill="1" applyBorder="1"/>
    <xf numFmtId="167" fontId="23" fillId="4" borderId="0" xfId="0" applyNumberFormat="1" applyFont="1" applyFill="1"/>
    <xf numFmtId="167" fontId="17" fillId="0" borderId="22" xfId="0" applyNumberFormat="1" applyFont="1" applyBorder="1"/>
    <xf numFmtId="168" fontId="0" fillId="0" borderId="0" xfId="0" applyNumberFormat="1"/>
    <xf numFmtId="167" fontId="17" fillId="4" borderId="24" xfId="0" applyNumberFormat="1" applyFont="1" applyFill="1" applyBorder="1"/>
    <xf numFmtId="167" fontId="0" fillId="0" borderId="0" xfId="0" applyNumberFormat="1"/>
    <xf numFmtId="37" fontId="17" fillId="4" borderId="0" xfId="0" applyNumberFormat="1" applyFont="1" applyFill="1"/>
    <xf numFmtId="168" fontId="17" fillId="4" borderId="25" xfId="0" applyNumberFormat="1" applyFont="1" applyFill="1" applyBorder="1"/>
    <xf numFmtId="37" fontId="4" fillId="0" borderId="0" xfId="0" applyNumberFormat="1" applyFont="1"/>
    <xf numFmtId="167" fontId="23" fillId="0" borderId="0" xfId="0" applyNumberFormat="1" applyFont="1"/>
    <xf numFmtId="167" fontId="4" fillId="4" borderId="0" xfId="0" applyNumberFormat="1" applyFont="1" applyFill="1"/>
    <xf numFmtId="37" fontId="17" fillId="0" borderId="0" xfId="0" applyNumberFormat="1" applyFont="1"/>
    <xf numFmtId="167" fontId="21" fillId="0" borderId="18" xfId="0" applyNumberFormat="1" applyFont="1" applyBorder="1"/>
    <xf numFmtId="167" fontId="22" fillId="0" borderId="18" xfId="0" applyNumberFormat="1" applyFont="1" applyBorder="1" applyAlignment="1">
      <alignment horizontal="center"/>
    </xf>
    <xf numFmtId="167" fontId="22" fillId="0" borderId="0" xfId="0" applyNumberFormat="1" applyFont="1"/>
    <xf numFmtId="0" fontId="24" fillId="0" borderId="0" xfId="0" applyFont="1" applyAlignment="1">
      <alignment horizontal="center"/>
    </xf>
    <xf numFmtId="0" fontId="0" fillId="4" borderId="0" xfId="0" applyFill="1"/>
    <xf numFmtId="167" fontId="17" fillId="4" borderId="18" xfId="0" applyNumberFormat="1" applyFont="1" applyFill="1" applyBorder="1"/>
    <xf numFmtId="0" fontId="23" fillId="0" borderId="0" xfId="0" applyFont="1"/>
    <xf numFmtId="167" fontId="0" fillId="4" borderId="0" xfId="0" applyNumberFormat="1" applyFill="1"/>
    <xf numFmtId="172" fontId="0" fillId="0" borderId="0" xfId="0" applyNumberFormat="1"/>
    <xf numFmtId="173" fontId="4" fillId="4" borderId="0" xfId="0" applyNumberFormat="1" applyFont="1" applyFill="1"/>
    <xf numFmtId="173" fontId="4" fillId="0" borderId="0" xfId="0" applyNumberFormat="1" applyFont="1"/>
    <xf numFmtId="167" fontId="3" fillId="4" borderId="0" xfId="0" applyNumberFormat="1" applyFont="1" applyFill="1"/>
    <xf numFmtId="167" fontId="3" fillId="0" borderId="0" xfId="0" applyNumberFormat="1" applyFont="1"/>
    <xf numFmtId="0" fontId="5" fillId="0" borderId="0" xfId="0" applyFont="1" applyAlignment="1">
      <alignment horizontal="left"/>
    </xf>
    <xf numFmtId="168" fontId="5" fillId="4" borderId="0" xfId="0" applyNumberFormat="1" applyFont="1" applyFill="1"/>
    <xf numFmtId="168" fontId="5" fillId="0" borderId="0" xfId="0" applyNumberFormat="1" applyFont="1"/>
    <xf numFmtId="174" fontId="5" fillId="0" borderId="0" xfId="0" applyNumberFormat="1" applyFont="1"/>
    <xf numFmtId="173" fontId="5" fillId="4" borderId="0" xfId="0" applyNumberFormat="1" applyFont="1" applyFill="1"/>
    <xf numFmtId="169" fontId="0" fillId="4" borderId="0" xfId="0" quotePrefix="1" applyNumberFormat="1" applyFill="1"/>
    <xf numFmtId="169" fontId="0" fillId="0" borderId="0" xfId="0" quotePrefix="1" applyNumberFormat="1"/>
    <xf numFmtId="173" fontId="5" fillId="0" borderId="0" xfId="0" applyNumberFormat="1" applyFont="1"/>
    <xf numFmtId="0" fontId="0" fillId="0" borderId="0" xfId="0" applyAlignment="1">
      <alignment horizontal="left"/>
    </xf>
    <xf numFmtId="0" fontId="9" fillId="0" borderId="0" xfId="0" applyFont="1" applyAlignment="1">
      <alignment horizontal="right"/>
    </xf>
    <xf numFmtId="0" fontId="9" fillId="0" borderId="0" xfId="0" applyFont="1" applyAlignment="1">
      <alignment horizontal="left" vertical="center"/>
    </xf>
    <xf numFmtId="14" fontId="17" fillId="0" borderId="0" xfId="0" applyNumberFormat="1" applyFont="1"/>
    <xf numFmtId="175" fontId="4" fillId="4" borderId="0" xfId="0" applyNumberFormat="1" applyFont="1" applyFill="1"/>
    <xf numFmtId="175" fontId="4" fillId="0" borderId="0" xfId="0" applyNumberFormat="1" applyFont="1"/>
    <xf numFmtId="176" fontId="4" fillId="0" borderId="0" xfId="0" applyNumberFormat="1" applyFont="1"/>
    <xf numFmtId="37" fontId="4" fillId="4" borderId="0" xfId="0" applyNumberFormat="1" applyFont="1" applyFill="1"/>
    <xf numFmtId="176" fontId="21" fillId="4" borderId="0" xfId="0" applyNumberFormat="1" applyFont="1" applyFill="1" applyAlignment="1">
      <alignment horizontal="right"/>
    </xf>
    <xf numFmtId="0" fontId="17" fillId="0" borderId="0" xfId="0" applyFont="1" applyAlignment="1">
      <alignment horizontal="left" indent="1"/>
    </xf>
    <xf numFmtId="0" fontId="3" fillId="0" borderId="0" xfId="0" applyFont="1" applyAlignment="1">
      <alignment horizontal="left"/>
    </xf>
    <xf numFmtId="177" fontId="3" fillId="4" borderId="0" xfId="0" applyNumberFormat="1" applyFont="1" applyFill="1"/>
    <xf numFmtId="178" fontId="4" fillId="0" borderId="0" xfId="0" applyNumberFormat="1" applyFont="1"/>
    <xf numFmtId="0" fontId="0" fillId="0" borderId="0" xfId="0" applyAlignment="1">
      <alignment horizontal="left" vertical="center" indent="1"/>
    </xf>
    <xf numFmtId="176" fontId="0" fillId="0" borderId="0" xfId="0" applyNumberFormat="1"/>
    <xf numFmtId="175" fontId="25" fillId="0" borderId="0" xfId="0" applyNumberFormat="1" applyFont="1"/>
    <xf numFmtId="0" fontId="3" fillId="0" borderId="0" xfId="0" applyFont="1" applyAlignment="1">
      <alignment vertical="center"/>
    </xf>
    <xf numFmtId="37" fontId="3" fillId="4" borderId="0" xfId="0" applyNumberFormat="1" applyFont="1" applyFill="1"/>
    <xf numFmtId="0" fontId="16" fillId="0" borderId="0" xfId="0" applyFont="1" applyAlignment="1">
      <alignment horizontal="right"/>
    </xf>
    <xf numFmtId="167" fontId="0" fillId="4" borderId="0" xfId="0" applyNumberFormat="1" applyFill="1" applyAlignment="1">
      <alignment horizontal="right"/>
    </xf>
    <xf numFmtId="37" fontId="5" fillId="4" borderId="18" xfId="0" applyNumberFormat="1" applyFont="1" applyFill="1" applyBorder="1" applyAlignment="1">
      <alignment horizontal="right"/>
    </xf>
    <xf numFmtId="37" fontId="0" fillId="4" borderId="0" xfId="0" applyNumberFormat="1" applyFill="1" applyAlignment="1">
      <alignment horizontal="right"/>
    </xf>
    <xf numFmtId="179" fontId="3" fillId="4" borderId="0" xfId="0" applyNumberFormat="1" applyFont="1" applyFill="1" applyAlignment="1">
      <alignment horizontal="right"/>
    </xf>
    <xf numFmtId="179" fontId="3" fillId="0" borderId="0" xfId="0" applyNumberFormat="1" applyFont="1" applyAlignment="1">
      <alignment horizontal="right"/>
    </xf>
    <xf numFmtId="180" fontId="0" fillId="0" borderId="0" xfId="0" applyNumberFormat="1" applyAlignment="1">
      <alignment horizontal="right"/>
    </xf>
    <xf numFmtId="181" fontId="0" fillId="4" borderId="0" xfId="0" applyNumberFormat="1" applyFill="1" applyAlignment="1">
      <alignment horizontal="right"/>
    </xf>
    <xf numFmtId="180" fontId="0" fillId="4" borderId="0" xfId="0" applyNumberFormat="1" applyFill="1" applyAlignment="1">
      <alignment horizontal="right"/>
    </xf>
    <xf numFmtId="9" fontId="0" fillId="0" borderId="0" xfId="0" applyNumberFormat="1"/>
    <xf numFmtId="168" fontId="0" fillId="0" borderId="0" xfId="0" applyNumberFormat="1" applyAlignment="1">
      <alignment horizontal="right"/>
    </xf>
    <xf numFmtId="0" fontId="17" fillId="5" borderId="0" xfId="0" applyFont="1" applyFill="1"/>
    <xf numFmtId="0" fontId="26" fillId="0" borderId="0" xfId="0" applyFont="1" applyAlignment="1">
      <alignment horizontal="centerContinuous"/>
    </xf>
    <xf numFmtId="0" fontId="16" fillId="0" borderId="24" xfId="0" applyFont="1" applyBorder="1" applyAlignment="1">
      <alignment horizontal="centerContinuous"/>
    </xf>
    <xf numFmtId="0" fontId="0" fillId="0" borderId="24" xfId="0" applyBorder="1" applyAlignment="1">
      <alignment horizontal="centerContinuous"/>
    </xf>
    <xf numFmtId="0" fontId="0" fillId="0" borderId="0" xfId="0" applyAlignment="1">
      <alignment horizontal="right"/>
    </xf>
    <xf numFmtId="39" fontId="0" fillId="0" borderId="26" xfId="0" applyNumberFormat="1" applyBorder="1" applyAlignment="1">
      <alignment horizontal="right"/>
    </xf>
    <xf numFmtId="165" fontId="17" fillId="6" borderId="27" xfId="0" applyNumberFormat="1" applyFont="1" applyFill="1" applyBorder="1"/>
    <xf numFmtId="165" fontId="17" fillId="6" borderId="28" xfId="0" applyNumberFormat="1" applyFont="1" applyFill="1" applyBorder="1"/>
    <xf numFmtId="165" fontId="4" fillId="6" borderId="28" xfId="0" applyNumberFormat="1" applyFont="1" applyFill="1" applyBorder="1"/>
    <xf numFmtId="165" fontId="17" fillId="6" borderId="24" xfId="0" applyNumberFormat="1" applyFont="1" applyFill="1" applyBorder="1"/>
    <xf numFmtId="173" fontId="0" fillId="0" borderId="29" xfId="0" applyNumberFormat="1" applyBorder="1" applyAlignment="1">
      <alignment horizontal="right"/>
    </xf>
    <xf numFmtId="165" fontId="17" fillId="6" borderId="30" xfId="0" applyNumberFormat="1" applyFont="1" applyFill="1" applyBorder="1" applyAlignment="1">
      <alignment horizontal="right"/>
    </xf>
    <xf numFmtId="182" fontId="0" fillId="0" borderId="0" xfId="0" applyNumberFormat="1"/>
    <xf numFmtId="182" fontId="0" fillId="0" borderId="24" xfId="0" applyNumberFormat="1" applyBorder="1"/>
    <xf numFmtId="173" fontId="0" fillId="0" borderId="0" xfId="0" applyNumberFormat="1" applyAlignment="1">
      <alignment horizontal="right"/>
    </xf>
    <xf numFmtId="165" fontId="4" fillId="6" borderId="30" xfId="0" applyNumberFormat="1" applyFont="1" applyFill="1" applyBorder="1" applyAlignment="1">
      <alignment horizontal="right"/>
    </xf>
    <xf numFmtId="0" fontId="23" fillId="5" borderId="0" xfId="0" applyFont="1" applyFill="1" applyAlignment="1">
      <alignment horizontal="center"/>
    </xf>
    <xf numFmtId="165" fontId="17" fillId="6" borderId="31" xfId="0" applyNumberFormat="1" applyFont="1" applyFill="1" applyBorder="1" applyAlignment="1">
      <alignment horizontal="right"/>
    </xf>
    <xf numFmtId="183" fontId="0" fillId="0" borderId="0" xfId="0" applyNumberFormat="1"/>
    <xf numFmtId="183" fontId="0" fillId="0" borderId="24" xfId="0" applyNumberFormat="1" applyBorder="1"/>
    <xf numFmtId="179" fontId="0" fillId="0" borderId="29" xfId="0" applyNumberFormat="1" applyBorder="1"/>
    <xf numFmtId="173" fontId="17" fillId="6" borderId="28" xfId="0" applyNumberFormat="1" applyFont="1" applyFill="1" applyBorder="1"/>
    <xf numFmtId="173" fontId="4" fillId="6" borderId="28" xfId="0" applyNumberFormat="1" applyFont="1" applyFill="1" applyBorder="1"/>
    <xf numFmtId="173" fontId="17" fillId="6" borderId="24" xfId="0" applyNumberFormat="1" applyFont="1" applyFill="1" applyBorder="1"/>
    <xf numFmtId="0" fontId="0" fillId="0" borderId="24" xfId="0" applyBorder="1"/>
    <xf numFmtId="0" fontId="3" fillId="7" borderId="0" xfId="0" applyFont="1" applyFill="1"/>
    <xf numFmtId="0" fontId="3" fillId="7" borderId="24" xfId="0" applyFont="1" applyFill="1" applyBorder="1"/>
    <xf numFmtId="184" fontId="0" fillId="0" borderId="0" xfId="0" applyNumberFormat="1"/>
    <xf numFmtId="0" fontId="0" fillId="0" borderId="27" xfId="0" applyBorder="1"/>
    <xf numFmtId="0" fontId="0" fillId="0" borderId="28" xfId="0" applyBorder="1" applyAlignment="1">
      <alignment horizontal="right"/>
    </xf>
    <xf numFmtId="0" fontId="0" fillId="0" borderId="32" xfId="0" applyBorder="1" applyAlignment="1">
      <alignment horizontal="right"/>
    </xf>
    <xf numFmtId="0" fontId="0" fillId="0" borderId="28" xfId="0" applyBorder="1"/>
    <xf numFmtId="0" fontId="0" fillId="0" borderId="33" xfId="0" applyBorder="1"/>
    <xf numFmtId="0" fontId="0" fillId="0" borderId="34" xfId="0" quotePrefix="1" applyBorder="1"/>
    <xf numFmtId="39" fontId="0" fillId="0" borderId="0" xfId="0" applyNumberFormat="1"/>
    <xf numFmtId="39" fontId="0" fillId="0" borderId="35" xfId="0" applyNumberFormat="1" applyBorder="1"/>
    <xf numFmtId="39" fontId="17" fillId="0" borderId="0" xfId="0" applyNumberFormat="1" applyFont="1"/>
    <xf numFmtId="39" fontId="17" fillId="0" borderId="35" xfId="0" applyNumberFormat="1" applyFont="1" applyBorder="1"/>
    <xf numFmtId="0" fontId="0" fillId="0" borderId="34" xfId="0" applyBorder="1"/>
    <xf numFmtId="0" fontId="0" fillId="0" borderId="36" xfId="0" applyBorder="1"/>
    <xf numFmtId="39" fontId="0" fillId="0" borderId="26" xfId="0" applyNumberFormat="1" applyBorder="1"/>
    <xf numFmtId="39" fontId="0" fillId="0" borderId="29" xfId="0" applyNumberFormat="1" applyBorder="1"/>
    <xf numFmtId="0" fontId="0" fillId="0" borderId="26" xfId="0" applyBorder="1"/>
    <xf numFmtId="0" fontId="0" fillId="0" borderId="37" xfId="0" applyBorder="1"/>
    <xf numFmtId="39" fontId="17" fillId="0" borderId="26" xfId="0" applyNumberFormat="1" applyFont="1" applyBorder="1"/>
    <xf numFmtId="39" fontId="17" fillId="0" borderId="29" xfId="0" applyNumberFormat="1" applyFont="1" applyBorder="1"/>
    <xf numFmtId="14" fontId="4" fillId="0" borderId="0" xfId="0" applyNumberFormat="1" applyFont="1"/>
    <xf numFmtId="7" fontId="4" fillId="0" borderId="0" xfId="0" applyNumberFormat="1" applyFont="1"/>
    <xf numFmtId="14" fontId="4" fillId="0" borderId="0" xfId="0" applyNumberFormat="1" applyFont="1" applyAlignment="1">
      <alignment horizontal="right"/>
    </xf>
    <xf numFmtId="167" fontId="20" fillId="0" borderId="20" xfId="0" applyNumberFormat="1" applyFont="1" applyBorder="1" applyAlignment="1">
      <alignment horizontal="center"/>
    </xf>
    <xf numFmtId="170" fontId="0" fillId="0" borderId="22" xfId="0" applyNumberFormat="1" applyBorder="1" applyAlignment="1">
      <alignment horizontal="center"/>
    </xf>
    <xf numFmtId="170" fontId="0" fillId="0" borderId="23" xfId="0" applyNumberFormat="1" applyBorder="1" applyAlignment="1">
      <alignment horizontal="center"/>
    </xf>
    <xf numFmtId="167" fontId="4" fillId="0" borderId="22" xfId="0" applyNumberFormat="1" applyFont="1" applyBorder="1"/>
    <xf numFmtId="0" fontId="0" fillId="0" borderId="22" xfId="0" applyBorder="1"/>
    <xf numFmtId="168" fontId="17" fillId="0" borderId="22" xfId="0" applyNumberFormat="1" applyFont="1" applyBorder="1"/>
    <xf numFmtId="169" fontId="4" fillId="0" borderId="24" xfId="0" applyNumberFormat="1" applyFont="1" applyBorder="1"/>
    <xf numFmtId="167" fontId="23" fillId="0" borderId="24" xfId="0" applyNumberFormat="1" applyFont="1" applyBorder="1"/>
    <xf numFmtId="167" fontId="17" fillId="0" borderId="24" xfId="0" applyNumberFormat="1" applyFont="1" applyBorder="1"/>
    <xf numFmtId="168" fontId="17" fillId="0" borderId="25" xfId="0" applyNumberFormat="1" applyFont="1" applyBorder="1"/>
    <xf numFmtId="0" fontId="27" fillId="0" borderId="0" xfId="0" applyFont="1" applyAlignment="1">
      <alignment horizontal="center"/>
    </xf>
    <xf numFmtId="168" fontId="0" fillId="0" borderId="0" xfId="0" applyNumberFormat="1" applyAlignment="1">
      <alignment horizontal="center"/>
    </xf>
    <xf numFmtId="167" fontId="17" fillId="0" borderId="18" xfId="0" applyNumberFormat="1" applyFont="1" applyBorder="1"/>
    <xf numFmtId="176" fontId="4" fillId="0" borderId="0" xfId="0" applyNumberFormat="1" applyFont="1" applyAlignment="1">
      <alignment horizontal="right"/>
    </xf>
    <xf numFmtId="177" fontId="3" fillId="0" borderId="0" xfId="0" applyNumberFormat="1" applyFont="1"/>
    <xf numFmtId="167" fontId="0" fillId="0" borderId="0" xfId="0" applyNumberFormat="1" applyAlignment="1">
      <alignment horizontal="right"/>
    </xf>
    <xf numFmtId="37" fontId="5" fillId="0" borderId="18" xfId="0" applyNumberFormat="1" applyFont="1" applyBorder="1" applyAlignment="1">
      <alignment horizontal="right"/>
    </xf>
    <xf numFmtId="37" fontId="0" fillId="0" borderId="0" xfId="0" applyNumberFormat="1" applyAlignment="1">
      <alignment horizontal="right"/>
    </xf>
    <xf numFmtId="181" fontId="0" fillId="0" borderId="0" xfId="0" applyNumberFormat="1" applyAlignment="1">
      <alignment horizontal="right"/>
    </xf>
    <xf numFmtId="0" fontId="23" fillId="0" borderId="18" xfId="0" applyFont="1" applyBorder="1"/>
    <xf numFmtId="0" fontId="17" fillId="0" borderId="18" xfId="0" applyFont="1" applyBorder="1"/>
    <xf numFmtId="0" fontId="23" fillId="0" borderId="18" xfId="0" applyFont="1" applyBorder="1" applyAlignment="1">
      <alignment horizontal="right"/>
    </xf>
    <xf numFmtId="0" fontId="9" fillId="0" borderId="0" xfId="0" applyFont="1" applyAlignment="1">
      <alignment horizontal="left"/>
    </xf>
    <xf numFmtId="10" fontId="4" fillId="4" borderId="0" xfId="0" applyNumberFormat="1" applyFont="1" applyFill="1"/>
    <xf numFmtId="184" fontId="21" fillId="4" borderId="18" xfId="0" applyNumberFormat="1" applyFont="1" applyFill="1" applyBorder="1"/>
    <xf numFmtId="184" fontId="17" fillId="4" borderId="0" xfId="0" applyNumberFormat="1" applyFont="1" applyFill="1"/>
    <xf numFmtId="176" fontId="4" fillId="4" borderId="0" xfId="0" applyNumberFormat="1" applyFont="1" applyFill="1"/>
    <xf numFmtId="10" fontId="4" fillId="4" borderId="18" xfId="0" applyNumberFormat="1" applyFont="1" applyFill="1" applyBorder="1"/>
    <xf numFmtId="10" fontId="17" fillId="4" borderId="0" xfId="0" applyNumberFormat="1" applyFont="1" applyFill="1"/>
    <xf numFmtId="165" fontId="17" fillId="0" borderId="0" xfId="0" applyNumberFormat="1" applyFont="1"/>
    <xf numFmtId="0" fontId="3" fillId="0" borderId="26" xfId="0" applyFont="1" applyBorder="1"/>
    <xf numFmtId="165" fontId="22" fillId="0" borderId="0" xfId="0" applyNumberFormat="1" applyFont="1" applyAlignment="1">
      <alignment horizontal="right"/>
    </xf>
    <xf numFmtId="185" fontId="21" fillId="4" borderId="0" xfId="0" applyNumberFormat="1" applyFont="1" applyFill="1"/>
    <xf numFmtId="9" fontId="4" fillId="4" borderId="0" xfId="0" applyNumberFormat="1" applyFont="1" applyFill="1"/>
    <xf numFmtId="169" fontId="0" fillId="4" borderId="0" xfId="0" applyNumberFormat="1" applyFill="1"/>
    <xf numFmtId="9" fontId="17" fillId="4" borderId="0" xfId="0" applyNumberFormat="1" applyFont="1" applyFill="1"/>
    <xf numFmtId="0" fontId="3" fillId="0" borderId="27" xfId="0" applyFont="1" applyBorder="1"/>
    <xf numFmtId="0" fontId="3" fillId="0" borderId="28" xfId="0" applyFont="1" applyBorder="1"/>
    <xf numFmtId="169" fontId="3" fillId="4" borderId="32" xfId="0" applyNumberFormat="1" applyFont="1" applyFill="1" applyBorder="1"/>
    <xf numFmtId="0" fontId="17" fillId="0" borderId="0" xfId="0" applyFont="1"/>
    <xf numFmtId="10" fontId="4" fillId="0" borderId="0" xfId="0" applyNumberFormat="1" applyFont="1"/>
    <xf numFmtId="184" fontId="21" fillId="0" borderId="18" xfId="0" applyNumberFormat="1" applyFont="1" applyBorder="1"/>
    <xf numFmtId="184" fontId="17" fillId="0" borderId="0" xfId="0" applyNumberFormat="1" applyFont="1"/>
    <xf numFmtId="176" fontId="17" fillId="0" borderId="0" xfId="0" applyNumberFormat="1" applyFont="1"/>
    <xf numFmtId="185" fontId="21" fillId="0" borderId="0" xfId="0" applyNumberFormat="1" applyFont="1"/>
    <xf numFmtId="9" fontId="4" fillId="8" borderId="0" xfId="0" applyNumberFormat="1" applyFont="1" applyFill="1"/>
    <xf numFmtId="169" fontId="0" fillId="0" borderId="0" xfId="0" applyNumberFormat="1"/>
    <xf numFmtId="9" fontId="17" fillId="0" borderId="0" xfId="0" applyNumberFormat="1" applyFont="1"/>
    <xf numFmtId="169" fontId="3" fillId="0" borderId="32" xfId="0" applyNumberFormat="1" applyFont="1" applyBorder="1"/>
    <xf numFmtId="39" fontId="3" fillId="0" borderId="0" xfId="0" applyNumberFormat="1" applyFont="1"/>
    <xf numFmtId="0" fontId="0" fillId="0" borderId="38" xfId="0" applyBorder="1" applyAlignment="1">
      <alignment horizontal="centerContinuous"/>
    </xf>
    <xf numFmtId="169" fontId="0" fillId="8" borderId="0" xfId="0" applyNumberFormat="1" applyFill="1"/>
    <xf numFmtId="186" fontId="17" fillId="0" borderId="39" xfId="0" applyNumberFormat="1" applyFont="1" applyBorder="1"/>
    <xf numFmtId="176" fontId="4" fillId="0" borderId="40" xfId="0" applyNumberFormat="1" applyFont="1" applyBorder="1"/>
    <xf numFmtId="186" fontId="17" fillId="0" borderId="40" xfId="0" applyNumberFormat="1" applyFont="1" applyBorder="1"/>
    <xf numFmtId="10" fontId="17" fillId="0" borderId="41" xfId="0" applyNumberFormat="1" applyFont="1" applyBorder="1"/>
    <xf numFmtId="168" fontId="0" fillId="0" borderId="38" xfId="0" applyNumberFormat="1" applyBorder="1"/>
    <xf numFmtId="10" fontId="4" fillId="0" borderId="41" xfId="0" applyNumberFormat="1" applyFont="1" applyBorder="1"/>
    <xf numFmtId="10" fontId="17" fillId="0" borderId="24" xfId="0" applyNumberFormat="1" applyFont="1" applyBorder="1"/>
    <xf numFmtId="0" fontId="4" fillId="5" borderId="20" xfId="0" applyFont="1" applyFill="1" applyBorder="1" applyAlignment="1">
      <alignment horizontal="right"/>
    </xf>
    <xf numFmtId="0" fontId="0" fillId="0" borderId="0" xfId="0" applyAlignment="1">
      <alignment wrapText="1"/>
    </xf>
    <xf numFmtId="0" fontId="0" fillId="0" borderId="42" xfId="0" applyBorder="1"/>
    <xf numFmtId="0" fontId="0" fillId="0" borderId="42" xfId="0" applyBorder="1" applyAlignment="1">
      <alignment wrapText="1"/>
    </xf>
    <xf numFmtId="39" fontId="4" fillId="0" borderId="0" xfId="0" applyNumberFormat="1" applyFont="1"/>
    <xf numFmtId="39" fontId="21" fillId="0" borderId="0" xfId="0" applyNumberFormat="1" applyFont="1"/>
    <xf numFmtId="37" fontId="21" fillId="0" borderId="0" xfId="0" applyNumberFormat="1" applyFont="1"/>
    <xf numFmtId="169" fontId="17" fillId="0" borderId="43" xfId="0" applyNumberFormat="1" applyFont="1" applyBorder="1"/>
    <xf numFmtId="176" fontId="3" fillId="0" borderId="0" xfId="0" applyNumberFormat="1" applyFont="1"/>
    <xf numFmtId="169" fontId="21" fillId="0" borderId="0" xfId="0" applyNumberFormat="1" applyFont="1"/>
    <xf numFmtId="176" fontId="21" fillId="0" borderId="0" xfId="0" applyNumberFormat="1" applyFont="1" applyAlignment="1">
      <alignment horizontal="right"/>
    </xf>
    <xf numFmtId="0" fontId="0" fillId="0" borderId="19" xfId="0" applyBorder="1"/>
    <xf numFmtId="0" fontId="4" fillId="0" borderId="0" xfId="0" applyFont="1" applyAlignment="1">
      <alignment horizontal="center"/>
    </xf>
    <xf numFmtId="189" fontId="4" fillId="9" borderId="20" xfId="0" applyNumberFormat="1" applyFont="1" applyFill="1" applyBorder="1" applyAlignment="1">
      <alignment horizontal="center"/>
    </xf>
    <xf numFmtId="8" fontId="4" fillId="0" borderId="0" xfId="0" applyNumberFormat="1" applyFont="1" applyAlignment="1">
      <alignment horizontal="center"/>
    </xf>
    <xf numFmtId="14" fontId="4" fillId="0" borderId="0" xfId="0" applyNumberFormat="1" applyFont="1" applyAlignment="1">
      <alignment horizontal="center"/>
    </xf>
    <xf numFmtId="170" fontId="4" fillId="0" borderId="0" xfId="0" applyNumberFormat="1" applyFont="1" applyAlignment="1">
      <alignment horizontal="center"/>
    </xf>
    <xf numFmtId="176" fontId="4" fillId="0" borderId="0" xfId="0" applyNumberFormat="1" applyFont="1" applyAlignment="1">
      <alignment horizontal="center"/>
    </xf>
    <xf numFmtId="190" fontId="3" fillId="0" borderId="0" xfId="0" applyNumberFormat="1" applyFont="1"/>
    <xf numFmtId="191" fontId="3" fillId="0" borderId="0" xfId="0" applyNumberFormat="1" applyFont="1"/>
    <xf numFmtId="0" fontId="5" fillId="0" borderId="26" xfId="0" applyFont="1" applyBorder="1"/>
    <xf numFmtId="170" fontId="5" fillId="0" borderId="2" xfId="0" applyNumberFormat="1" applyFont="1" applyBorder="1"/>
    <xf numFmtId="170" fontId="14" fillId="0" borderId="0" xfId="0" applyNumberFormat="1" applyFont="1"/>
    <xf numFmtId="170" fontId="5" fillId="0" borderId="0" xfId="0" applyNumberFormat="1" applyFont="1"/>
    <xf numFmtId="9" fontId="5" fillId="0" borderId="0" xfId="0" applyNumberFormat="1" applyFont="1"/>
    <xf numFmtId="37" fontId="23" fillId="0" borderId="0" xfId="0" applyNumberFormat="1" applyFont="1"/>
    <xf numFmtId="0" fontId="0" fillId="0" borderId="0" xfId="0" quotePrefix="1"/>
    <xf numFmtId="4" fontId="0" fillId="0" borderId="0" xfId="0" applyNumberFormat="1"/>
    <xf numFmtId="169" fontId="17" fillId="0" borderId="0" xfId="0" applyNumberFormat="1" applyFont="1"/>
    <xf numFmtId="170" fontId="5" fillId="0" borderId="26" xfId="0" applyNumberFormat="1" applyFont="1" applyBorder="1"/>
    <xf numFmtId="14" fontId="5" fillId="0" borderId="0" xfId="0" applyNumberFormat="1" applyFont="1"/>
    <xf numFmtId="190" fontId="23" fillId="0" borderId="0" xfId="0" applyNumberFormat="1" applyFont="1"/>
    <xf numFmtId="191" fontId="23" fillId="0" borderId="0" xfId="0" applyNumberFormat="1" applyFont="1"/>
    <xf numFmtId="170" fontId="29" fillId="0" borderId="26" xfId="0" applyNumberFormat="1" applyFont="1" applyBorder="1"/>
    <xf numFmtId="37" fontId="5" fillId="0" borderId="0" xfId="0" applyNumberFormat="1" applyFont="1"/>
    <xf numFmtId="0" fontId="3" fillId="0" borderId="38" xfId="0" applyFont="1" applyBorder="1" applyAlignment="1">
      <alignment horizontal="centerContinuous"/>
    </xf>
    <xf numFmtId="0" fontId="0" fillId="0" borderId="0" xfId="0" quotePrefix="1" applyAlignment="1">
      <alignment horizontal="left" indent="1"/>
    </xf>
    <xf numFmtId="0" fontId="0" fillId="0" borderId="18" xfId="0" quotePrefix="1" applyBorder="1" applyAlignment="1">
      <alignment horizontal="left" indent="1"/>
    </xf>
    <xf numFmtId="37" fontId="4" fillId="0" borderId="18" xfId="0" applyNumberFormat="1" applyFont="1" applyBorder="1"/>
    <xf numFmtId="37" fontId="0" fillId="0" borderId="18" xfId="0" applyNumberFormat="1" applyBorder="1"/>
    <xf numFmtId="0" fontId="3" fillId="0" borderId="0" xfId="0" applyFont="1" applyAlignment="1">
      <alignment horizontal="left" indent="1"/>
    </xf>
    <xf numFmtId="189" fontId="0" fillId="0" borderId="0" xfId="0" applyNumberFormat="1"/>
    <xf numFmtId="0" fontId="3" fillId="0" borderId="26" xfId="0" applyFont="1" applyBorder="1" applyAlignment="1">
      <alignment horizontal="left"/>
    </xf>
    <xf numFmtId="169" fontId="0" fillId="0" borderId="26" xfId="0" applyNumberFormat="1" applyBorder="1"/>
    <xf numFmtId="169" fontId="17" fillId="0" borderId="26" xfId="0" applyNumberFormat="1" applyFont="1" applyBorder="1"/>
    <xf numFmtId="37" fontId="3" fillId="0" borderId="26" xfId="0" applyNumberFormat="1" applyFont="1" applyBorder="1"/>
    <xf numFmtId="37" fontId="17" fillId="0" borderId="38" xfId="0" applyNumberFormat="1" applyFont="1" applyBorder="1"/>
    <xf numFmtId="0" fontId="0" fillId="0" borderId="18" xfId="0" applyBorder="1" applyAlignment="1">
      <alignment horizontal="left" indent="1"/>
    </xf>
    <xf numFmtId="37" fontId="17" fillId="0" borderId="18" xfId="0" applyNumberFormat="1" applyFont="1" applyBorder="1"/>
    <xf numFmtId="37" fontId="3" fillId="0" borderId="26" xfId="0" applyNumberFormat="1" applyFont="1" applyBorder="1" applyAlignment="1">
      <alignment horizontal="left"/>
    </xf>
    <xf numFmtId="37" fontId="3" fillId="0" borderId="18" xfId="0" applyNumberFormat="1" applyFont="1" applyBorder="1"/>
    <xf numFmtId="0" fontId="30" fillId="0" borderId="44" xfId="0" applyFont="1" applyBorder="1" applyAlignment="1">
      <alignment horizontal="left" indent="2"/>
    </xf>
    <xf numFmtId="0" fontId="30" fillId="0" borderId="21" xfId="0" applyFont="1" applyBorder="1" applyAlignment="1">
      <alignment horizontal="left" indent="2"/>
    </xf>
    <xf numFmtId="37" fontId="0" fillId="0" borderId="21" xfId="0" applyNumberFormat="1" applyBorder="1"/>
    <xf numFmtId="0" fontId="0" fillId="0" borderId="21" xfId="0" applyBorder="1"/>
    <xf numFmtId="37" fontId="31" fillId="0" borderId="21" xfId="0" applyNumberFormat="1" applyFont="1" applyBorder="1" applyAlignment="1">
      <alignment horizontal="right"/>
    </xf>
    <xf numFmtId="0" fontId="30" fillId="0" borderId="0" xfId="0" applyFont="1" applyAlignment="1">
      <alignment horizontal="center"/>
    </xf>
    <xf numFmtId="37" fontId="31" fillId="0" borderId="0" xfId="0" applyNumberFormat="1" applyFont="1" applyAlignment="1">
      <alignment horizontal="right"/>
    </xf>
    <xf numFmtId="9" fontId="4" fillId="0" borderId="26" xfId="0" applyNumberFormat="1" applyFont="1" applyBorder="1"/>
    <xf numFmtId="3" fontId="32" fillId="0" borderId="0" xfId="0" applyNumberFormat="1" applyFont="1"/>
    <xf numFmtId="37" fontId="0" fillId="0" borderId="38" xfId="0" applyNumberFormat="1" applyBorder="1"/>
    <xf numFmtId="0" fontId="9" fillId="0" borderId="0" xfId="0" applyFont="1" applyAlignment="1">
      <alignment horizontal="left" indent="1"/>
    </xf>
    <xf numFmtId="0" fontId="7" fillId="0" borderId="0" xfId="0" applyFont="1" applyAlignment="1">
      <alignment horizontal="left"/>
    </xf>
    <xf numFmtId="192" fontId="4" fillId="0" borderId="0" xfId="0" applyNumberFormat="1" applyFont="1"/>
    <xf numFmtId="184" fontId="33" fillId="0" borderId="0" xfId="0" applyNumberFormat="1" applyFont="1"/>
    <xf numFmtId="0" fontId="23" fillId="0" borderId="23" xfId="0" applyFont="1" applyBorder="1" applyAlignment="1">
      <alignment horizontal="left" indent="1"/>
    </xf>
    <xf numFmtId="0" fontId="23" fillId="0" borderId="0" xfId="0" applyFont="1" applyAlignment="1">
      <alignment horizontal="left" indent="1"/>
    </xf>
    <xf numFmtId="37" fontId="23" fillId="0" borderId="23" xfId="0" applyNumberFormat="1" applyFont="1" applyBorder="1"/>
    <xf numFmtId="0" fontId="0" fillId="0" borderId="0" xfId="0" applyAlignment="1">
      <alignment horizontal="left" indent="2"/>
    </xf>
    <xf numFmtId="168" fontId="33" fillId="0" borderId="0" xfId="0" applyNumberFormat="1" applyFont="1"/>
    <xf numFmtId="37" fontId="17" fillId="0" borderId="0" xfId="0" applyNumberFormat="1" applyFont="1" applyAlignment="1">
      <alignment horizontal="left" indent="1"/>
    </xf>
    <xf numFmtId="7" fontId="23" fillId="0" borderId="0" xfId="0" applyNumberFormat="1" applyFont="1"/>
    <xf numFmtId="8" fontId="0" fillId="0" borderId="0" xfId="0" applyNumberFormat="1"/>
    <xf numFmtId="8" fontId="4" fillId="0" borderId="0" xfId="0" applyNumberFormat="1" applyFont="1"/>
    <xf numFmtId="37" fontId="3" fillId="0" borderId="45" xfId="0" applyNumberFormat="1" applyFont="1" applyBorder="1"/>
    <xf numFmtId="189" fontId="3" fillId="0" borderId="46" xfId="0" applyNumberFormat="1" applyFont="1" applyBorder="1"/>
    <xf numFmtId="0" fontId="34" fillId="0" borderId="47" xfId="0" applyFont="1" applyBorder="1" applyAlignment="1">
      <alignment horizontal="center"/>
    </xf>
    <xf numFmtId="0" fontId="34" fillId="0" borderId="48" xfId="0" applyFont="1" applyBorder="1" applyAlignment="1">
      <alignment horizontal="center"/>
    </xf>
    <xf numFmtId="169" fontId="0" fillId="0" borderId="49" xfId="0" applyNumberFormat="1" applyBorder="1" applyAlignment="1">
      <alignment horizontal="center"/>
    </xf>
    <xf numFmtId="0" fontId="0" fillId="0" borderId="49" xfId="0" applyBorder="1"/>
    <xf numFmtId="168" fontId="4" fillId="0" borderId="49" xfId="0" applyNumberFormat="1" applyFont="1" applyBorder="1" applyAlignment="1">
      <alignment horizontal="center"/>
    </xf>
    <xf numFmtId="0" fontId="0" fillId="0" borderId="49" xfId="0" applyBorder="1" applyAlignment="1">
      <alignment horizontal="center"/>
    </xf>
    <xf numFmtId="193" fontId="0" fillId="0" borderId="0" xfId="0" applyNumberFormat="1"/>
    <xf numFmtId="168" fontId="4" fillId="0" borderId="50" xfId="0" applyNumberFormat="1" applyFont="1" applyBorder="1" applyAlignment="1">
      <alignment horizontal="center"/>
    </xf>
    <xf numFmtId="14" fontId="4" fillId="0" borderId="0" xfId="3" applyNumberFormat="1" applyFont="1" applyAlignment="1">
      <alignment horizontal="right"/>
    </xf>
    <xf numFmtId="14" fontId="17" fillId="0" borderId="0" xfId="3" applyNumberFormat="1" applyFont="1" applyAlignment="1">
      <alignment horizontal="right"/>
    </xf>
    <xf numFmtId="170" fontId="0" fillId="0" borderId="24" xfId="0" applyNumberFormat="1" applyBorder="1" applyAlignment="1">
      <alignment horizontal="center"/>
    </xf>
    <xf numFmtId="170" fontId="0" fillId="0" borderId="0" xfId="0" applyNumberFormat="1" applyAlignment="1">
      <alignment horizontal="center"/>
    </xf>
    <xf numFmtId="167" fontId="21" fillId="4" borderId="22" xfId="0" applyNumberFormat="1" applyFont="1" applyFill="1" applyBorder="1"/>
    <xf numFmtId="167" fontId="21" fillId="4" borderId="0" xfId="0" applyNumberFormat="1" applyFont="1" applyFill="1"/>
    <xf numFmtId="169" fontId="21" fillId="4" borderId="24" xfId="0" applyNumberFormat="1" applyFont="1" applyFill="1" applyBorder="1"/>
    <xf numFmtId="169" fontId="21" fillId="4" borderId="0" xfId="0" applyNumberFormat="1" applyFont="1" applyFill="1"/>
    <xf numFmtId="167" fontId="23" fillId="4" borderId="25" xfId="0" applyNumberFormat="1" applyFont="1" applyFill="1" applyBorder="1"/>
    <xf numFmtId="179" fontId="0" fillId="0" borderId="26" xfId="0" applyNumberFormat="1" applyBorder="1" applyAlignment="1">
      <alignment horizontal="right"/>
    </xf>
    <xf numFmtId="165" fontId="17" fillId="6" borderId="32" xfId="0" applyNumberFormat="1" applyFont="1" applyFill="1" applyBorder="1"/>
    <xf numFmtId="173" fontId="17" fillId="6" borderId="32" xfId="0" applyNumberFormat="1" applyFont="1" applyFill="1" applyBorder="1"/>
    <xf numFmtId="169" fontId="21" fillId="0" borderId="24" xfId="0" applyNumberFormat="1" applyFont="1" applyBorder="1"/>
    <xf numFmtId="167" fontId="23" fillId="0" borderId="25" xfId="0" applyNumberFormat="1" applyFont="1" applyBorder="1"/>
    <xf numFmtId="0" fontId="7" fillId="0" borderId="0" xfId="0" applyFont="1" applyAlignment="1">
      <alignment horizontal="right"/>
    </xf>
    <xf numFmtId="0" fontId="36" fillId="3" borderId="2" xfId="0" applyFont="1" applyFill="1" applyBorder="1" applyAlignment="1">
      <alignment horizontal="centerContinuous"/>
    </xf>
    <xf numFmtId="0" fontId="5" fillId="10" borderId="7" xfId="0" applyFont="1" applyFill="1" applyBorder="1"/>
    <xf numFmtId="0" fontId="5" fillId="10" borderId="8" xfId="0" applyFont="1" applyFill="1" applyBorder="1"/>
    <xf numFmtId="0" fontId="0" fillId="0" borderId="0" xfId="0" applyAlignment="1">
      <alignment horizontal="center"/>
    </xf>
    <xf numFmtId="0" fontId="0" fillId="0" borderId="2" xfId="0" applyBorder="1" applyAlignment="1">
      <alignment horizontal="center"/>
    </xf>
    <xf numFmtId="3" fontId="0" fillId="0" borderId="0" xfId="0" applyNumberFormat="1" applyFill="1" applyBorder="1"/>
    <xf numFmtId="0" fontId="7" fillId="0" borderId="0" xfId="0" applyFont="1" applyAlignment="1">
      <alignment horizontal="center"/>
    </xf>
    <xf numFmtId="14" fontId="3" fillId="0" borderId="2" xfId="0" applyNumberFormat="1" applyFont="1" applyBorder="1"/>
    <xf numFmtId="0" fontId="3" fillId="0" borderId="2" xfId="0" applyFont="1" applyBorder="1" applyAlignment="1">
      <alignment horizontal="center" vertical="center"/>
    </xf>
    <xf numFmtId="0" fontId="3" fillId="0" borderId="2" xfId="0" applyFont="1" applyBorder="1" applyAlignment="1">
      <alignment horizontal="center"/>
    </xf>
    <xf numFmtId="0" fontId="0" fillId="10" borderId="6" xfId="0" applyFill="1" applyBorder="1" applyAlignment="1">
      <alignment horizontal="center"/>
    </xf>
    <xf numFmtId="0" fontId="0" fillId="10" borderId="7" xfId="0" applyFill="1" applyBorder="1" applyAlignment="1">
      <alignment horizontal="center"/>
    </xf>
    <xf numFmtId="0" fontId="0" fillId="10" borderId="8" xfId="0" applyFill="1" applyBorder="1" applyAlignment="1">
      <alignment horizontal="center"/>
    </xf>
    <xf numFmtId="3" fontId="3" fillId="10" borderId="7" xfId="0" applyNumberFormat="1" applyFont="1" applyFill="1" applyBorder="1"/>
    <xf numFmtId="3" fontId="3" fillId="10" borderId="6" xfId="0" applyNumberFormat="1" applyFont="1" applyFill="1" applyBorder="1"/>
    <xf numFmtId="0" fontId="7" fillId="10" borderId="7" xfId="0" applyFont="1" applyFill="1" applyBorder="1" applyAlignment="1">
      <alignment horizontal="center"/>
    </xf>
    <xf numFmtId="3" fontId="3" fillId="10" borderId="8" xfId="0" applyNumberFormat="1" applyFont="1" applyFill="1" applyBorder="1"/>
    <xf numFmtId="0" fontId="14" fillId="0" borderId="0" xfId="0" applyFont="1"/>
    <xf numFmtId="3" fontId="3" fillId="0" borderId="2" xfId="0" applyNumberFormat="1" applyFont="1" applyBorder="1"/>
    <xf numFmtId="3" fontId="0" fillId="0" borderId="0" xfId="0" applyNumberFormat="1" applyAlignment="1">
      <alignment horizontal="right"/>
    </xf>
    <xf numFmtId="3" fontId="3" fillId="0" borderId="0" xfId="0" applyNumberFormat="1" applyFont="1" applyAlignment="1">
      <alignment horizontal="right"/>
    </xf>
    <xf numFmtId="0" fontId="0" fillId="0" borderId="0" xfId="0" applyFont="1"/>
  </cellXfs>
  <cellStyles count="4">
    <cellStyle name="Hyperlink" xfId="2" builtinId="8"/>
    <cellStyle name="Normal" xfId="0" builtinId="0"/>
    <cellStyle name="Normal_DCF_Model" xfId="3" xr:uid="{D22DA2A4-13D6-42DB-8D32-4A042EFA82FC}"/>
    <cellStyle name="Percent" xfId="1" builtinId="5"/>
  </cellStyles>
  <dxfs count="9">
    <dxf>
      <font>
        <color rgb="FF9C0006"/>
      </font>
      <fill>
        <patternFill>
          <bgColor rgb="FFFFC7CE"/>
        </patternFill>
      </fill>
    </dxf>
    <dxf>
      <font>
        <color rgb="FF9C0006"/>
      </font>
      <fill>
        <patternFill>
          <bgColor rgb="FFFFC7CE"/>
        </patternFill>
      </fill>
    </dxf>
    <dxf>
      <fill>
        <patternFill>
          <bgColor theme="8"/>
        </patternFill>
      </fill>
      <border>
        <left/>
        <right/>
        <top style="thin">
          <color rgb="FF9C0006"/>
        </top>
        <bottom style="thin">
          <color rgb="FF9C0006"/>
        </bottom>
        <vertical/>
        <horizontal/>
      </border>
    </dxf>
    <dxf>
      <fill>
        <patternFill>
          <bgColor theme="8"/>
        </patternFill>
      </fill>
      <border>
        <left/>
        <right/>
        <top style="thin">
          <color rgb="FF9C0006"/>
        </top>
        <bottom style="thin">
          <color rgb="FF9C0006"/>
        </bottom>
        <vertical/>
        <horizontal/>
      </border>
    </dxf>
    <dxf>
      <fill>
        <patternFill>
          <bgColor theme="8"/>
        </patternFill>
      </fill>
      <border>
        <left/>
        <right/>
        <top style="thin">
          <color rgb="FF9C0006"/>
        </top>
        <bottom style="thin">
          <color rgb="FF9C0006"/>
        </bottom>
        <vertical/>
        <horizontal/>
      </border>
    </dxf>
    <dxf>
      <font>
        <color rgb="FF9C0006"/>
      </font>
      <fill>
        <patternFill>
          <bgColor rgb="FFFFC7CE"/>
        </patternFill>
      </fill>
    </dxf>
    <dxf>
      <font>
        <b/>
        <i val="0"/>
      </font>
      <fill>
        <patternFill patternType="solid">
          <bgColor theme="2"/>
        </patternFill>
      </fill>
      <border>
        <left/>
        <right/>
        <top/>
        <bottom/>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DCF Equity Valuation Range </a:t>
            </a:r>
          </a:p>
        </c:rich>
      </c:tx>
      <c:layout>
        <c:manualLayout>
          <c:xMode val="edge"/>
          <c:yMode val="edge"/>
          <c:x val="0.31291626892699836"/>
          <c:y val="0"/>
        </c:manualLayout>
      </c:layout>
      <c:overlay val="0"/>
    </c:title>
    <c:autoTitleDeleted val="0"/>
    <c:plotArea>
      <c:layout/>
      <c:barChart>
        <c:barDir val="col"/>
        <c:grouping val="stacked"/>
        <c:varyColors val="0"/>
        <c:ser>
          <c:idx val="0"/>
          <c:order val="0"/>
          <c:spPr>
            <a:noFill/>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'Simple DCF Empty'!$B$122:$B$124</c:f>
              <c:strCache>
                <c:ptCount val="3"/>
                <c:pt idx="0">
                  <c:v>DCF Value at 11.5x-13.5x Exit EBITDA Range at 9.0% WACC</c:v>
                </c:pt>
                <c:pt idx="1">
                  <c:v>DCF Value at 2.0%-4.0% Perpetuity Range at 9.0% WACC</c:v>
                </c:pt>
                <c:pt idx="2">
                  <c:v>52 Week Market High/Low</c:v>
                </c:pt>
              </c:strCache>
            </c:strRef>
          </c:cat>
          <c:val>
            <c:numRef>
              <c:f>'Simple DCF Empty'!$C$122:$C$124</c:f>
              <c:numCache>
                <c:formatCode>#,##0.00_);\(#,##0.00\)</c:formatCode>
                <c:ptCount val="3"/>
                <c:pt idx="0">
                  <c:v>0</c:v>
                </c:pt>
                <c:pt idx="1">
                  <c:v>0</c:v>
                </c:pt>
                <c:pt idx="2">
                  <c:v>169.5</c:v>
                </c:pt>
              </c:numCache>
            </c:numRef>
          </c:val>
          <c:extLst>
            <c:ext xmlns:c16="http://schemas.microsoft.com/office/drawing/2014/chart" uri="{C3380CC4-5D6E-409C-BE32-E72D297353CC}">
              <c16:uniqueId val="{00000000-584D-4FBE-9AA9-8029979F705C}"/>
            </c:ext>
          </c:extLst>
        </c:ser>
        <c:ser>
          <c:idx val="1"/>
          <c:order val="1"/>
          <c:invertIfNegative val="0"/>
          <c:cat>
            <c:strRef>
              <c:f>'Simple DCF Empty'!$B$122:$B$124</c:f>
              <c:strCache>
                <c:ptCount val="3"/>
                <c:pt idx="0">
                  <c:v>DCF Value at 11.5x-13.5x Exit EBITDA Range at 9.0% WACC</c:v>
                </c:pt>
                <c:pt idx="1">
                  <c:v>DCF Value at 2.0%-4.0% Perpetuity Range at 9.0% WACC</c:v>
                </c:pt>
                <c:pt idx="2">
                  <c:v>52 Week Market High/Low</c:v>
                </c:pt>
              </c:strCache>
            </c:strRef>
          </c:cat>
          <c:val>
            <c:numRef>
              <c:f>'Simple DCF Empty'!$D$122:$D$124</c:f>
              <c:numCache>
                <c:formatCode>#,##0.00_);\(#,##0.00\)</c:formatCode>
                <c:ptCount val="3"/>
                <c:pt idx="0">
                  <c:v>0</c:v>
                </c:pt>
                <c:pt idx="1">
                  <c:v>0</c:v>
                </c:pt>
                <c:pt idx="2">
                  <c:v>158.35000000000002</c:v>
                </c:pt>
              </c:numCache>
            </c:numRef>
          </c:val>
          <c:extLst>
            <c:ext xmlns:c16="http://schemas.microsoft.com/office/drawing/2014/chart" uri="{C3380CC4-5D6E-409C-BE32-E72D297353CC}">
              <c16:uniqueId val="{00000001-584D-4FBE-9AA9-8029979F705C}"/>
            </c:ext>
          </c:extLst>
        </c:ser>
        <c:ser>
          <c:idx val="2"/>
          <c:order val="2"/>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'Simple DCF Empty'!$B$122:$B$124</c:f>
              <c:strCache>
                <c:ptCount val="3"/>
                <c:pt idx="0">
                  <c:v>DCF Value at 11.5x-13.5x Exit EBITDA Range at 9.0% WACC</c:v>
                </c:pt>
                <c:pt idx="1">
                  <c:v>DCF Value at 2.0%-4.0% Perpetuity Range at 9.0% WACC</c:v>
                </c:pt>
                <c:pt idx="2">
                  <c:v>52 Week Market High/Low</c:v>
                </c:pt>
              </c:strCache>
            </c:strRef>
          </c:cat>
          <c:val>
            <c:numRef>
              <c:f>'Simple DCF Empty'!$E$122:$E$124</c:f>
              <c:numCache>
                <c:formatCode>#,##0.00_);\(#,##0.00\)</c:formatCode>
                <c:ptCount val="3"/>
                <c:pt idx="0">
                  <c:v>0</c:v>
                </c:pt>
                <c:pt idx="1">
                  <c:v>0</c:v>
                </c:pt>
                <c:pt idx="2">
                  <c:v>327.85</c:v>
                </c:pt>
              </c:numCache>
            </c:numRef>
          </c:val>
          <c:extLst>
            <c:ext xmlns:c16="http://schemas.microsoft.com/office/drawing/2014/chart" uri="{C3380CC4-5D6E-409C-BE32-E72D297353CC}">
              <c16:uniqueId val="{00000002-584D-4FBE-9AA9-8029979F705C}"/>
            </c:ext>
          </c:extLst>
        </c:ser>
        <c:dLbls>
          <c:showLegendKey val="0"/>
          <c:showVal val="0"/>
          <c:showCatName val="0"/>
          <c:showSerName val="0"/>
          <c:showPercent val="0"/>
          <c:showBubbleSize val="0"/>
        </c:dLbls>
        <c:gapWidth val="150"/>
        <c:overlap val="100"/>
        <c:axId val="99639680"/>
        <c:axId val="99641216"/>
      </c:barChart>
      <c:catAx>
        <c:axId val="99639680"/>
        <c:scaling>
          <c:orientation val="minMax"/>
        </c:scaling>
        <c:delete val="0"/>
        <c:axPos val="b"/>
        <c:numFmt formatCode="General" sourceLinked="0"/>
        <c:majorTickMark val="out"/>
        <c:minorTickMark val="none"/>
        <c:tickLblPos val="nextTo"/>
        <c:crossAx val="99641216"/>
        <c:crosses val="autoZero"/>
        <c:auto val="1"/>
        <c:lblAlgn val="ctr"/>
        <c:lblOffset val="100"/>
        <c:noMultiLvlLbl val="0"/>
      </c:catAx>
      <c:valAx>
        <c:axId val="99641216"/>
        <c:scaling>
          <c:orientation val="minMax"/>
          <c:max val="400"/>
          <c:min val="100"/>
        </c:scaling>
        <c:delete val="0"/>
        <c:axPos val="l"/>
        <c:numFmt formatCode="#,##0.00_);\(#,##0.00\)" sourceLinked="1"/>
        <c:majorTickMark val="out"/>
        <c:minorTickMark val="none"/>
        <c:tickLblPos val="nextTo"/>
        <c:crossAx val="9963968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LTM EBITDA Multiple Range</a:t>
            </a:r>
          </a:p>
        </c:rich>
      </c:tx>
      <c:layout>
        <c:manualLayout>
          <c:xMode val="edge"/>
          <c:yMode val="edge"/>
          <c:x val="0.31291626892699836"/>
          <c:y val="0"/>
        </c:manualLayout>
      </c:layout>
      <c:overlay val="0"/>
    </c:title>
    <c:autoTitleDeleted val="0"/>
    <c:plotArea>
      <c:layout/>
      <c:barChart>
        <c:barDir val="col"/>
        <c:grouping val="stacked"/>
        <c:varyColors val="0"/>
        <c:ser>
          <c:idx val="0"/>
          <c:order val="0"/>
          <c:spPr>
            <a:noFill/>
          </c:spPr>
          <c:invertIfNegative val="0"/>
          <c:dLbls>
            <c:numFmt formatCode="#,##0.0\x;\-#,##0.0\x" sourceLinked="0"/>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'Simple DCF Empty'!$G$122:$G$124</c:f>
              <c:strCache>
                <c:ptCount val="3"/>
                <c:pt idx="0">
                  <c:v>LTM EBITDA Purchase Multiple at 2.0%-4.0% Perpetuity Growth at 9.0% WACC</c:v>
                </c:pt>
                <c:pt idx="1">
                  <c:v>LTM EBITDA Purchase Multiple at 0.0x-0.0x Exit EBITDA Multiple at 9.0% WACC</c:v>
                </c:pt>
                <c:pt idx="2">
                  <c:v>LTM EBITDA Purchase Multiple at 8.0%-10.0% WACC at 12.5x Exit EBITDA</c:v>
                </c:pt>
              </c:strCache>
            </c:strRef>
          </c:cat>
          <c:val>
            <c:numRef>
              <c:f>'Simple DCF Empty'!$O$122:$O$124</c:f>
              <c:numCache>
                <c:formatCode>#,##0.00_);\(#,##0.00\)</c:formatCode>
                <c:ptCount val="3"/>
                <c:pt idx="0">
                  <c:v>0</c:v>
                </c:pt>
                <c:pt idx="1">
                  <c:v>0</c:v>
                </c:pt>
                <c:pt idx="2">
                  <c:v>0</c:v>
                </c:pt>
              </c:numCache>
            </c:numRef>
          </c:val>
          <c:extLst>
            <c:ext xmlns:c16="http://schemas.microsoft.com/office/drawing/2014/chart" uri="{C3380CC4-5D6E-409C-BE32-E72D297353CC}">
              <c16:uniqueId val="{00000000-7D42-4667-AF98-711E6F95CA3D}"/>
            </c:ext>
          </c:extLst>
        </c:ser>
        <c:ser>
          <c:idx val="1"/>
          <c:order val="1"/>
          <c:spPr>
            <a:solidFill>
              <a:schemeClr val="tx2"/>
            </a:solidFill>
          </c:spPr>
          <c:invertIfNegative val="0"/>
          <c:cat>
            <c:strRef>
              <c:f>'Simple DCF Empty'!$G$122:$G$124</c:f>
              <c:strCache>
                <c:ptCount val="3"/>
                <c:pt idx="0">
                  <c:v>LTM EBITDA Purchase Multiple at 2.0%-4.0% Perpetuity Growth at 9.0% WACC</c:v>
                </c:pt>
                <c:pt idx="1">
                  <c:v>LTM EBITDA Purchase Multiple at 0.0x-0.0x Exit EBITDA Multiple at 9.0% WACC</c:v>
                </c:pt>
                <c:pt idx="2">
                  <c:v>LTM EBITDA Purchase Multiple at 8.0%-10.0% WACC at 12.5x Exit EBITDA</c:v>
                </c:pt>
              </c:strCache>
            </c:strRef>
          </c:cat>
          <c:val>
            <c:numRef>
              <c:f>'Simple DCF Empty'!$P$122:$P$124</c:f>
              <c:numCache>
                <c:formatCode>#,##0.00_);\(#,##0.00\)</c:formatCode>
                <c:ptCount val="3"/>
                <c:pt idx="0">
                  <c:v>0</c:v>
                </c:pt>
                <c:pt idx="1">
                  <c:v>0</c:v>
                </c:pt>
                <c:pt idx="2">
                  <c:v>0</c:v>
                </c:pt>
              </c:numCache>
            </c:numRef>
          </c:val>
          <c:extLst>
            <c:ext xmlns:c16="http://schemas.microsoft.com/office/drawing/2014/chart" uri="{C3380CC4-5D6E-409C-BE32-E72D297353CC}">
              <c16:uniqueId val="{00000001-7D42-4667-AF98-711E6F95CA3D}"/>
            </c:ext>
          </c:extLst>
        </c:ser>
        <c:ser>
          <c:idx val="2"/>
          <c:order val="2"/>
          <c:spPr>
            <a:noFill/>
          </c:spPr>
          <c:invertIfNegative val="0"/>
          <c:dLbls>
            <c:numFmt formatCode="#,##0.0\x;\-#,##0.0\x"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'Simple DCF Empty'!$G$122:$G$124</c:f>
              <c:strCache>
                <c:ptCount val="3"/>
                <c:pt idx="0">
                  <c:v>LTM EBITDA Purchase Multiple at 2.0%-4.0% Perpetuity Growth at 9.0% WACC</c:v>
                </c:pt>
                <c:pt idx="1">
                  <c:v>LTM EBITDA Purchase Multiple at 0.0x-0.0x Exit EBITDA Multiple at 9.0% WACC</c:v>
                </c:pt>
                <c:pt idx="2">
                  <c:v>LTM EBITDA Purchase Multiple at 8.0%-10.0% WACC at 12.5x Exit EBITDA</c:v>
                </c:pt>
              </c:strCache>
            </c:strRef>
          </c:cat>
          <c:val>
            <c:numRef>
              <c:f>'Simple DCF Empty'!$Q$122:$Q$124</c:f>
              <c:numCache>
                <c:formatCode>#,##0.00_);\(#,##0.00\)</c:formatCode>
                <c:ptCount val="3"/>
                <c:pt idx="0">
                  <c:v>0</c:v>
                </c:pt>
                <c:pt idx="1">
                  <c:v>0</c:v>
                </c:pt>
                <c:pt idx="2">
                  <c:v>0</c:v>
                </c:pt>
              </c:numCache>
            </c:numRef>
          </c:val>
          <c:extLst>
            <c:ext xmlns:c16="http://schemas.microsoft.com/office/drawing/2014/chart" uri="{C3380CC4-5D6E-409C-BE32-E72D297353CC}">
              <c16:uniqueId val="{00000002-7D42-4667-AF98-711E6F95CA3D}"/>
            </c:ext>
          </c:extLst>
        </c:ser>
        <c:dLbls>
          <c:showLegendKey val="0"/>
          <c:showVal val="0"/>
          <c:showCatName val="0"/>
          <c:showSerName val="0"/>
          <c:showPercent val="0"/>
          <c:showBubbleSize val="0"/>
        </c:dLbls>
        <c:gapWidth val="150"/>
        <c:overlap val="100"/>
        <c:axId val="99639680"/>
        <c:axId val="99641216"/>
      </c:barChart>
      <c:catAx>
        <c:axId val="99639680"/>
        <c:scaling>
          <c:orientation val="minMax"/>
        </c:scaling>
        <c:delete val="0"/>
        <c:axPos val="b"/>
        <c:numFmt formatCode="General" sourceLinked="0"/>
        <c:majorTickMark val="out"/>
        <c:minorTickMark val="none"/>
        <c:tickLblPos val="nextTo"/>
        <c:crossAx val="99641216"/>
        <c:crosses val="autoZero"/>
        <c:auto val="1"/>
        <c:lblAlgn val="ctr"/>
        <c:lblOffset val="100"/>
        <c:noMultiLvlLbl val="0"/>
      </c:catAx>
      <c:valAx>
        <c:axId val="99641216"/>
        <c:scaling>
          <c:orientation val="minMax"/>
          <c:max val="20"/>
          <c:min val="10"/>
        </c:scaling>
        <c:delete val="0"/>
        <c:axPos val="l"/>
        <c:numFmt formatCode="#,##0.0\x;\-#,##0.0\x" sourceLinked="0"/>
        <c:majorTickMark val="out"/>
        <c:minorTickMark val="none"/>
        <c:tickLblPos val="nextTo"/>
        <c:crossAx val="9963968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DCF Equity Valuation Range </a:t>
            </a:r>
          </a:p>
        </c:rich>
      </c:tx>
      <c:layout>
        <c:manualLayout>
          <c:xMode val="edge"/>
          <c:yMode val="edge"/>
          <c:x val="0.31291626892699836"/>
          <c:y val="0"/>
        </c:manualLayout>
      </c:layout>
      <c:overlay val="0"/>
    </c:title>
    <c:autoTitleDeleted val="0"/>
    <c:plotArea>
      <c:layout/>
      <c:barChart>
        <c:barDir val="col"/>
        <c:grouping val="stacked"/>
        <c:varyColors val="0"/>
        <c:ser>
          <c:idx val="0"/>
          <c:order val="0"/>
          <c:spPr>
            <a:noFill/>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'Simple DCF Done'!$B$122:$B$124</c:f>
              <c:strCache>
                <c:ptCount val="3"/>
                <c:pt idx="0">
                  <c:v>DCF Value at 11.5x-13.5x Exit EBITDA Range at 9.0% WACC</c:v>
                </c:pt>
                <c:pt idx="1">
                  <c:v>DCF Value at 2.0%-4.0% Perpetuity Range at 9.0% WACC</c:v>
                </c:pt>
                <c:pt idx="2">
                  <c:v>52 Week Market High/Low</c:v>
                </c:pt>
              </c:strCache>
            </c:strRef>
          </c:cat>
          <c:val>
            <c:numRef>
              <c:f>'Simple DCF Done'!$C$122:$C$124</c:f>
              <c:numCache>
                <c:formatCode>#,##0.00_);\(#,##0.00\)</c:formatCode>
                <c:ptCount val="3"/>
                <c:pt idx="0">
                  <c:v>255.11212614708694</c:v>
                </c:pt>
                <c:pt idx="1">
                  <c:v>243.66113413110557</c:v>
                </c:pt>
                <c:pt idx="2">
                  <c:v>169.5</c:v>
                </c:pt>
              </c:numCache>
            </c:numRef>
          </c:val>
          <c:extLst>
            <c:ext xmlns:c16="http://schemas.microsoft.com/office/drawing/2014/chart" uri="{C3380CC4-5D6E-409C-BE32-E72D297353CC}">
              <c16:uniqueId val="{00000000-6826-4081-8EE1-AC537898E568}"/>
            </c:ext>
          </c:extLst>
        </c:ser>
        <c:ser>
          <c:idx val="1"/>
          <c:order val="1"/>
          <c:invertIfNegative val="0"/>
          <c:cat>
            <c:strRef>
              <c:f>'Simple DCF Done'!$B$122:$B$124</c:f>
              <c:strCache>
                <c:ptCount val="3"/>
                <c:pt idx="0">
                  <c:v>DCF Value at 11.5x-13.5x Exit EBITDA Range at 9.0% WACC</c:v>
                </c:pt>
                <c:pt idx="1">
                  <c:v>DCF Value at 2.0%-4.0% Perpetuity Range at 9.0% WACC</c:v>
                </c:pt>
                <c:pt idx="2">
                  <c:v>52 Week Market High/Low</c:v>
                </c:pt>
              </c:strCache>
            </c:strRef>
          </c:cat>
          <c:val>
            <c:numRef>
              <c:f>'Simple DCF Done'!$D$122:$D$124</c:f>
              <c:numCache>
                <c:formatCode>#,##0.00_);\(#,##0.00\)</c:formatCode>
                <c:ptCount val="3"/>
                <c:pt idx="0">
                  <c:v>30.754754148733241</c:v>
                </c:pt>
                <c:pt idx="1">
                  <c:v>70.695623658731876</c:v>
                </c:pt>
                <c:pt idx="2">
                  <c:v>158.35000000000002</c:v>
                </c:pt>
              </c:numCache>
            </c:numRef>
          </c:val>
          <c:extLst>
            <c:ext xmlns:c16="http://schemas.microsoft.com/office/drawing/2014/chart" uri="{C3380CC4-5D6E-409C-BE32-E72D297353CC}">
              <c16:uniqueId val="{00000001-6826-4081-8EE1-AC537898E568}"/>
            </c:ext>
          </c:extLst>
        </c:ser>
        <c:ser>
          <c:idx val="2"/>
          <c:order val="2"/>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'Simple DCF Done'!$B$122:$B$124</c:f>
              <c:strCache>
                <c:ptCount val="3"/>
                <c:pt idx="0">
                  <c:v>DCF Value at 11.5x-13.5x Exit EBITDA Range at 9.0% WACC</c:v>
                </c:pt>
                <c:pt idx="1">
                  <c:v>DCF Value at 2.0%-4.0% Perpetuity Range at 9.0% WACC</c:v>
                </c:pt>
                <c:pt idx="2">
                  <c:v>52 Week Market High/Low</c:v>
                </c:pt>
              </c:strCache>
            </c:strRef>
          </c:cat>
          <c:val>
            <c:numRef>
              <c:f>'Simple DCF Done'!$E$122:$E$124</c:f>
              <c:numCache>
                <c:formatCode>#,##0.00_);\(#,##0.00\)</c:formatCode>
                <c:ptCount val="3"/>
                <c:pt idx="0">
                  <c:v>285.86688029582018</c:v>
                </c:pt>
                <c:pt idx="1">
                  <c:v>314.35675778983745</c:v>
                </c:pt>
                <c:pt idx="2">
                  <c:v>327.85</c:v>
                </c:pt>
              </c:numCache>
            </c:numRef>
          </c:val>
          <c:extLst>
            <c:ext xmlns:c16="http://schemas.microsoft.com/office/drawing/2014/chart" uri="{C3380CC4-5D6E-409C-BE32-E72D297353CC}">
              <c16:uniqueId val="{00000002-6826-4081-8EE1-AC537898E568}"/>
            </c:ext>
          </c:extLst>
        </c:ser>
        <c:dLbls>
          <c:showLegendKey val="0"/>
          <c:showVal val="0"/>
          <c:showCatName val="0"/>
          <c:showSerName val="0"/>
          <c:showPercent val="0"/>
          <c:showBubbleSize val="0"/>
        </c:dLbls>
        <c:gapWidth val="150"/>
        <c:overlap val="100"/>
        <c:axId val="99639680"/>
        <c:axId val="99641216"/>
      </c:barChart>
      <c:catAx>
        <c:axId val="99639680"/>
        <c:scaling>
          <c:orientation val="minMax"/>
        </c:scaling>
        <c:delete val="0"/>
        <c:axPos val="b"/>
        <c:numFmt formatCode="General" sourceLinked="0"/>
        <c:majorTickMark val="out"/>
        <c:minorTickMark val="none"/>
        <c:tickLblPos val="nextTo"/>
        <c:crossAx val="99641216"/>
        <c:crosses val="autoZero"/>
        <c:auto val="1"/>
        <c:lblAlgn val="ctr"/>
        <c:lblOffset val="100"/>
        <c:noMultiLvlLbl val="0"/>
      </c:catAx>
      <c:valAx>
        <c:axId val="99641216"/>
        <c:scaling>
          <c:orientation val="minMax"/>
          <c:max val="400"/>
          <c:min val="100"/>
        </c:scaling>
        <c:delete val="0"/>
        <c:axPos val="l"/>
        <c:numFmt formatCode="#,##0.00_);\(#,##0.00\)" sourceLinked="1"/>
        <c:majorTickMark val="out"/>
        <c:minorTickMark val="none"/>
        <c:tickLblPos val="nextTo"/>
        <c:crossAx val="9963968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LTM EBITDA Multiple Range</a:t>
            </a:r>
          </a:p>
        </c:rich>
      </c:tx>
      <c:layout>
        <c:manualLayout>
          <c:xMode val="edge"/>
          <c:yMode val="edge"/>
          <c:x val="0.31291626892699836"/>
          <c:y val="0"/>
        </c:manualLayout>
      </c:layout>
      <c:overlay val="0"/>
    </c:title>
    <c:autoTitleDeleted val="0"/>
    <c:plotArea>
      <c:layout/>
      <c:barChart>
        <c:barDir val="col"/>
        <c:grouping val="stacked"/>
        <c:varyColors val="0"/>
        <c:ser>
          <c:idx val="0"/>
          <c:order val="0"/>
          <c:spPr>
            <a:noFill/>
          </c:spPr>
          <c:invertIfNegative val="0"/>
          <c:dLbls>
            <c:numFmt formatCode="#,##0.0\x;\-#,##0.0\x" sourceLinked="0"/>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'Simple DCF Done'!$G$122:$G$124</c:f>
              <c:strCache>
                <c:ptCount val="3"/>
                <c:pt idx="0">
                  <c:v>LTM EBITDA Purchase Multiple at 2.0%-4.0% Perpetuity Growth at 9.0% WACC</c:v>
                </c:pt>
                <c:pt idx="1">
                  <c:v>LTM EBITDA Purchase Multiple at 12.8x-14.5x Exit EBITDA Multiple at 9.0% WACC</c:v>
                </c:pt>
                <c:pt idx="2">
                  <c:v>LTM EBITDA Purchase Multiple at 8.0%-10.0% WACC at 12.5x Exit EBITDA</c:v>
                </c:pt>
              </c:strCache>
            </c:strRef>
          </c:cat>
          <c:val>
            <c:numRef>
              <c:f>'Simple DCF Done'!$O$122:$O$124</c:f>
              <c:numCache>
                <c:formatCode>#,##0.00_);\(#,##0.00\)</c:formatCode>
                <c:ptCount val="3"/>
                <c:pt idx="0">
                  <c:v>12.158600506522676</c:v>
                </c:pt>
                <c:pt idx="1">
                  <c:v>12.786963644100345</c:v>
                </c:pt>
                <c:pt idx="2">
                  <c:v>13.122776360825991</c:v>
                </c:pt>
              </c:numCache>
            </c:numRef>
          </c:val>
          <c:extLst>
            <c:ext xmlns:c16="http://schemas.microsoft.com/office/drawing/2014/chart" uri="{C3380CC4-5D6E-409C-BE32-E72D297353CC}">
              <c16:uniqueId val="{00000000-964E-436F-8F44-626CB826E070}"/>
            </c:ext>
          </c:extLst>
        </c:ser>
        <c:ser>
          <c:idx val="1"/>
          <c:order val="1"/>
          <c:spPr>
            <a:solidFill>
              <a:schemeClr val="tx2"/>
            </a:solidFill>
          </c:spPr>
          <c:invertIfNegative val="0"/>
          <c:cat>
            <c:strRef>
              <c:f>'Simple DCF Done'!$G$122:$G$124</c:f>
              <c:strCache>
                <c:ptCount val="3"/>
                <c:pt idx="0">
                  <c:v>LTM EBITDA Purchase Multiple at 2.0%-4.0% Perpetuity Growth at 9.0% WACC</c:v>
                </c:pt>
                <c:pt idx="1">
                  <c:v>LTM EBITDA Purchase Multiple at 12.8x-14.5x Exit EBITDA Multiple at 9.0% WACC</c:v>
                </c:pt>
                <c:pt idx="2">
                  <c:v>LTM EBITDA Purchase Multiple at 8.0%-10.0% WACC at 12.5x Exit EBITDA</c:v>
                </c:pt>
              </c:strCache>
            </c:strRef>
          </c:cat>
          <c:val>
            <c:numRef>
              <c:f>'Simple DCF Done'!$P$122:$P$124</c:f>
              <c:numCache>
                <c:formatCode>#,##0.00_);\(#,##0.00\)</c:formatCode>
                <c:ptCount val="3"/>
                <c:pt idx="0">
                  <c:v>3.8793603063571584</c:v>
                </c:pt>
                <c:pt idx="1">
                  <c:v>1.6876401437846678</c:v>
                </c:pt>
                <c:pt idx="2">
                  <c:v>1.0418732444405041</c:v>
                </c:pt>
              </c:numCache>
            </c:numRef>
          </c:val>
          <c:extLst>
            <c:ext xmlns:c16="http://schemas.microsoft.com/office/drawing/2014/chart" uri="{C3380CC4-5D6E-409C-BE32-E72D297353CC}">
              <c16:uniqueId val="{00000001-964E-436F-8F44-626CB826E070}"/>
            </c:ext>
          </c:extLst>
        </c:ser>
        <c:ser>
          <c:idx val="2"/>
          <c:order val="2"/>
          <c:spPr>
            <a:noFill/>
          </c:spPr>
          <c:invertIfNegative val="0"/>
          <c:dLbls>
            <c:numFmt formatCode="#,##0.0\x;\-#,##0.0\x"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'Simple DCF Done'!$G$122:$G$124</c:f>
              <c:strCache>
                <c:ptCount val="3"/>
                <c:pt idx="0">
                  <c:v>LTM EBITDA Purchase Multiple at 2.0%-4.0% Perpetuity Growth at 9.0% WACC</c:v>
                </c:pt>
                <c:pt idx="1">
                  <c:v>LTM EBITDA Purchase Multiple at 12.8x-14.5x Exit EBITDA Multiple at 9.0% WACC</c:v>
                </c:pt>
                <c:pt idx="2">
                  <c:v>LTM EBITDA Purchase Multiple at 8.0%-10.0% WACC at 12.5x Exit EBITDA</c:v>
                </c:pt>
              </c:strCache>
            </c:strRef>
          </c:cat>
          <c:val>
            <c:numRef>
              <c:f>'Simple DCF Done'!$Q$122:$Q$124</c:f>
              <c:numCache>
                <c:formatCode>#,##0.00_);\(#,##0.00\)</c:formatCode>
                <c:ptCount val="3"/>
                <c:pt idx="0">
                  <c:v>16.037960812879835</c:v>
                </c:pt>
                <c:pt idx="1">
                  <c:v>14.474603787885012</c:v>
                </c:pt>
                <c:pt idx="2">
                  <c:v>14.164649605266495</c:v>
                </c:pt>
              </c:numCache>
            </c:numRef>
          </c:val>
          <c:extLst>
            <c:ext xmlns:c16="http://schemas.microsoft.com/office/drawing/2014/chart" uri="{C3380CC4-5D6E-409C-BE32-E72D297353CC}">
              <c16:uniqueId val="{00000002-964E-436F-8F44-626CB826E070}"/>
            </c:ext>
          </c:extLst>
        </c:ser>
        <c:dLbls>
          <c:showLegendKey val="0"/>
          <c:showVal val="0"/>
          <c:showCatName val="0"/>
          <c:showSerName val="0"/>
          <c:showPercent val="0"/>
          <c:showBubbleSize val="0"/>
        </c:dLbls>
        <c:gapWidth val="150"/>
        <c:overlap val="100"/>
        <c:axId val="99639680"/>
        <c:axId val="99641216"/>
      </c:barChart>
      <c:catAx>
        <c:axId val="99639680"/>
        <c:scaling>
          <c:orientation val="minMax"/>
        </c:scaling>
        <c:delete val="0"/>
        <c:axPos val="b"/>
        <c:numFmt formatCode="General" sourceLinked="0"/>
        <c:majorTickMark val="out"/>
        <c:minorTickMark val="none"/>
        <c:tickLblPos val="nextTo"/>
        <c:crossAx val="99641216"/>
        <c:crosses val="autoZero"/>
        <c:auto val="1"/>
        <c:lblAlgn val="ctr"/>
        <c:lblOffset val="100"/>
        <c:noMultiLvlLbl val="0"/>
      </c:catAx>
      <c:valAx>
        <c:axId val="99641216"/>
        <c:scaling>
          <c:orientation val="minMax"/>
          <c:max val="20"/>
          <c:min val="10"/>
        </c:scaling>
        <c:delete val="0"/>
        <c:axPos val="l"/>
        <c:numFmt formatCode="#,##0.0\x;\-#,##0.0\x" sourceLinked="0"/>
        <c:majorTickMark val="out"/>
        <c:minorTickMark val="none"/>
        <c:tickLblPos val="nextTo"/>
        <c:crossAx val="9963968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DCF Equity Valuation Range </a:t>
            </a:r>
          </a:p>
        </c:rich>
      </c:tx>
      <c:layout>
        <c:manualLayout>
          <c:xMode val="edge"/>
          <c:yMode val="edge"/>
          <c:x val="0.31291626892699836"/>
          <c:y val="0"/>
        </c:manualLayout>
      </c:layout>
      <c:overlay val="0"/>
    </c:title>
    <c:autoTitleDeleted val="0"/>
    <c:plotArea>
      <c:layout/>
      <c:barChart>
        <c:barDir val="col"/>
        <c:grouping val="stacked"/>
        <c:varyColors val="0"/>
        <c:ser>
          <c:idx val="0"/>
          <c:order val="0"/>
          <c:spPr>
            <a:noFill/>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'DCF 1-Pager'!$B$122:$B$124</c:f>
              <c:strCache>
                <c:ptCount val="3"/>
                <c:pt idx="0">
                  <c:v>DCF Value at 11.5x-13.5x Exit EBITDA Range at 9.0% WACC</c:v>
                </c:pt>
                <c:pt idx="1">
                  <c:v>DCF Value at 2.0%-4.0% Perpetuity Range at 9.0% WACC</c:v>
                </c:pt>
                <c:pt idx="2">
                  <c:v>52 Week Market High/Low</c:v>
                </c:pt>
              </c:strCache>
            </c:strRef>
          </c:cat>
          <c:val>
            <c:numRef>
              <c:f>'DCF 1-Pager'!$C$122:$C$124</c:f>
              <c:numCache>
                <c:formatCode>#,##0.00_);\(#,##0.00\)</c:formatCode>
                <c:ptCount val="3"/>
                <c:pt idx="0">
                  <c:v>0</c:v>
                </c:pt>
                <c:pt idx="1">
                  <c:v>0</c:v>
                </c:pt>
                <c:pt idx="2">
                  <c:v>169.5</c:v>
                </c:pt>
              </c:numCache>
            </c:numRef>
          </c:val>
          <c:extLst>
            <c:ext xmlns:c16="http://schemas.microsoft.com/office/drawing/2014/chart" uri="{C3380CC4-5D6E-409C-BE32-E72D297353CC}">
              <c16:uniqueId val="{00000000-77B9-4698-A2B4-00751D505457}"/>
            </c:ext>
          </c:extLst>
        </c:ser>
        <c:ser>
          <c:idx val="1"/>
          <c:order val="1"/>
          <c:invertIfNegative val="0"/>
          <c:cat>
            <c:strRef>
              <c:f>'DCF 1-Pager'!$B$122:$B$124</c:f>
              <c:strCache>
                <c:ptCount val="3"/>
                <c:pt idx="0">
                  <c:v>DCF Value at 11.5x-13.5x Exit EBITDA Range at 9.0% WACC</c:v>
                </c:pt>
                <c:pt idx="1">
                  <c:v>DCF Value at 2.0%-4.0% Perpetuity Range at 9.0% WACC</c:v>
                </c:pt>
                <c:pt idx="2">
                  <c:v>52 Week Market High/Low</c:v>
                </c:pt>
              </c:strCache>
            </c:strRef>
          </c:cat>
          <c:val>
            <c:numRef>
              <c:f>'DCF 1-Pager'!$D$122:$D$124</c:f>
              <c:numCache>
                <c:formatCode>#,##0.00_);\(#,##0.00\)</c:formatCode>
                <c:ptCount val="3"/>
                <c:pt idx="0">
                  <c:v>0</c:v>
                </c:pt>
                <c:pt idx="1">
                  <c:v>0</c:v>
                </c:pt>
                <c:pt idx="2">
                  <c:v>158.35000000000002</c:v>
                </c:pt>
              </c:numCache>
            </c:numRef>
          </c:val>
          <c:extLst>
            <c:ext xmlns:c16="http://schemas.microsoft.com/office/drawing/2014/chart" uri="{C3380CC4-5D6E-409C-BE32-E72D297353CC}">
              <c16:uniqueId val="{00000001-77B9-4698-A2B4-00751D505457}"/>
            </c:ext>
          </c:extLst>
        </c:ser>
        <c:ser>
          <c:idx val="2"/>
          <c:order val="2"/>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'DCF 1-Pager'!$B$122:$B$124</c:f>
              <c:strCache>
                <c:ptCount val="3"/>
                <c:pt idx="0">
                  <c:v>DCF Value at 11.5x-13.5x Exit EBITDA Range at 9.0% WACC</c:v>
                </c:pt>
                <c:pt idx="1">
                  <c:v>DCF Value at 2.0%-4.0% Perpetuity Range at 9.0% WACC</c:v>
                </c:pt>
                <c:pt idx="2">
                  <c:v>52 Week Market High/Low</c:v>
                </c:pt>
              </c:strCache>
            </c:strRef>
          </c:cat>
          <c:val>
            <c:numRef>
              <c:f>'DCF 1-Pager'!$E$122:$E$124</c:f>
              <c:numCache>
                <c:formatCode>#,##0.00_);\(#,##0.00\)</c:formatCode>
                <c:ptCount val="3"/>
                <c:pt idx="0">
                  <c:v>0</c:v>
                </c:pt>
                <c:pt idx="1">
                  <c:v>0</c:v>
                </c:pt>
                <c:pt idx="2">
                  <c:v>327.85</c:v>
                </c:pt>
              </c:numCache>
            </c:numRef>
          </c:val>
          <c:extLst>
            <c:ext xmlns:c16="http://schemas.microsoft.com/office/drawing/2014/chart" uri="{C3380CC4-5D6E-409C-BE32-E72D297353CC}">
              <c16:uniqueId val="{00000002-77B9-4698-A2B4-00751D505457}"/>
            </c:ext>
          </c:extLst>
        </c:ser>
        <c:dLbls>
          <c:showLegendKey val="0"/>
          <c:showVal val="0"/>
          <c:showCatName val="0"/>
          <c:showSerName val="0"/>
          <c:showPercent val="0"/>
          <c:showBubbleSize val="0"/>
        </c:dLbls>
        <c:gapWidth val="150"/>
        <c:overlap val="100"/>
        <c:axId val="99639680"/>
        <c:axId val="99641216"/>
      </c:barChart>
      <c:catAx>
        <c:axId val="99639680"/>
        <c:scaling>
          <c:orientation val="minMax"/>
        </c:scaling>
        <c:delete val="0"/>
        <c:axPos val="b"/>
        <c:numFmt formatCode="General" sourceLinked="0"/>
        <c:majorTickMark val="out"/>
        <c:minorTickMark val="none"/>
        <c:tickLblPos val="nextTo"/>
        <c:crossAx val="99641216"/>
        <c:crosses val="autoZero"/>
        <c:auto val="1"/>
        <c:lblAlgn val="ctr"/>
        <c:lblOffset val="100"/>
        <c:noMultiLvlLbl val="0"/>
      </c:catAx>
      <c:valAx>
        <c:axId val="99641216"/>
        <c:scaling>
          <c:orientation val="minMax"/>
          <c:max val="400"/>
          <c:min val="100"/>
        </c:scaling>
        <c:delete val="0"/>
        <c:axPos val="l"/>
        <c:numFmt formatCode="#,##0.00_);\(#,##0.00\)" sourceLinked="1"/>
        <c:majorTickMark val="out"/>
        <c:minorTickMark val="none"/>
        <c:tickLblPos val="nextTo"/>
        <c:crossAx val="9963968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LTM EBITDA Multiple Range</a:t>
            </a:r>
          </a:p>
        </c:rich>
      </c:tx>
      <c:layout>
        <c:manualLayout>
          <c:xMode val="edge"/>
          <c:yMode val="edge"/>
          <c:x val="0.31291626892699836"/>
          <c:y val="0"/>
        </c:manualLayout>
      </c:layout>
      <c:overlay val="0"/>
    </c:title>
    <c:autoTitleDeleted val="0"/>
    <c:plotArea>
      <c:layout/>
      <c:barChart>
        <c:barDir val="col"/>
        <c:grouping val="stacked"/>
        <c:varyColors val="0"/>
        <c:ser>
          <c:idx val="0"/>
          <c:order val="0"/>
          <c:spPr>
            <a:noFill/>
          </c:spPr>
          <c:invertIfNegative val="0"/>
          <c:dLbls>
            <c:numFmt formatCode="#,##0.0\x;\-#,##0.0\x" sourceLinked="0"/>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'DCF 1-Pager'!$G$122:$G$124</c:f>
              <c:strCache>
                <c:ptCount val="3"/>
                <c:pt idx="0">
                  <c:v>LTM EBITDA Purchase Multiple at 2.0%-4.0% Perpetuity Growth at 9.0% WACC</c:v>
                </c:pt>
                <c:pt idx="1">
                  <c:v>LTM EBITDA Purchase Multiple at 12.8x-14.5x Exit EBITDA Multiple at 9.0% WACC</c:v>
                </c:pt>
                <c:pt idx="2">
                  <c:v>LTM EBITDA Purchase Multiple at 8.0%-10.0% WACC at 12.5x Exit EBITDA</c:v>
                </c:pt>
              </c:strCache>
            </c:strRef>
          </c:cat>
          <c:val>
            <c:numRef>
              <c:f>'DCF 1-Pager'!$O$122:$O$124</c:f>
              <c:numCache>
                <c:formatCode>#,##0.00_);\(#,##0.00\)</c:formatCode>
                <c:ptCount val="3"/>
                <c:pt idx="0">
                  <c:v>12.158600506522676</c:v>
                </c:pt>
                <c:pt idx="1">
                  <c:v>12.786963644100345</c:v>
                </c:pt>
                <c:pt idx="2">
                  <c:v>13.122776360825991</c:v>
                </c:pt>
              </c:numCache>
            </c:numRef>
          </c:val>
          <c:extLst>
            <c:ext xmlns:c16="http://schemas.microsoft.com/office/drawing/2014/chart" uri="{C3380CC4-5D6E-409C-BE32-E72D297353CC}">
              <c16:uniqueId val="{00000000-99D0-4E06-A0CF-97CD72F8D6C2}"/>
            </c:ext>
          </c:extLst>
        </c:ser>
        <c:ser>
          <c:idx val="1"/>
          <c:order val="1"/>
          <c:spPr>
            <a:solidFill>
              <a:schemeClr val="tx2"/>
            </a:solidFill>
          </c:spPr>
          <c:invertIfNegative val="0"/>
          <c:cat>
            <c:strRef>
              <c:f>'DCF 1-Pager'!$G$122:$G$124</c:f>
              <c:strCache>
                <c:ptCount val="3"/>
                <c:pt idx="0">
                  <c:v>LTM EBITDA Purchase Multiple at 2.0%-4.0% Perpetuity Growth at 9.0% WACC</c:v>
                </c:pt>
                <c:pt idx="1">
                  <c:v>LTM EBITDA Purchase Multiple at 12.8x-14.5x Exit EBITDA Multiple at 9.0% WACC</c:v>
                </c:pt>
                <c:pt idx="2">
                  <c:v>LTM EBITDA Purchase Multiple at 8.0%-10.0% WACC at 12.5x Exit EBITDA</c:v>
                </c:pt>
              </c:strCache>
            </c:strRef>
          </c:cat>
          <c:val>
            <c:numRef>
              <c:f>'DCF 1-Pager'!$P$122:$P$124</c:f>
              <c:numCache>
                <c:formatCode>#,##0.00_);\(#,##0.00\)</c:formatCode>
                <c:ptCount val="3"/>
                <c:pt idx="0">
                  <c:v>3.8793603063571584</c:v>
                </c:pt>
                <c:pt idx="1">
                  <c:v>1.6876401437846678</c:v>
                </c:pt>
                <c:pt idx="2">
                  <c:v>1.0418732444405041</c:v>
                </c:pt>
              </c:numCache>
            </c:numRef>
          </c:val>
          <c:extLst>
            <c:ext xmlns:c16="http://schemas.microsoft.com/office/drawing/2014/chart" uri="{C3380CC4-5D6E-409C-BE32-E72D297353CC}">
              <c16:uniqueId val="{00000001-99D0-4E06-A0CF-97CD72F8D6C2}"/>
            </c:ext>
          </c:extLst>
        </c:ser>
        <c:ser>
          <c:idx val="2"/>
          <c:order val="2"/>
          <c:spPr>
            <a:noFill/>
          </c:spPr>
          <c:invertIfNegative val="0"/>
          <c:dLbls>
            <c:numFmt formatCode="#,##0.0\x;\-#,##0.0\x"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'DCF 1-Pager'!$G$122:$G$124</c:f>
              <c:strCache>
                <c:ptCount val="3"/>
                <c:pt idx="0">
                  <c:v>LTM EBITDA Purchase Multiple at 2.0%-4.0% Perpetuity Growth at 9.0% WACC</c:v>
                </c:pt>
                <c:pt idx="1">
                  <c:v>LTM EBITDA Purchase Multiple at 12.8x-14.5x Exit EBITDA Multiple at 9.0% WACC</c:v>
                </c:pt>
                <c:pt idx="2">
                  <c:v>LTM EBITDA Purchase Multiple at 8.0%-10.0% WACC at 12.5x Exit EBITDA</c:v>
                </c:pt>
              </c:strCache>
            </c:strRef>
          </c:cat>
          <c:val>
            <c:numRef>
              <c:f>'DCF 1-Pager'!$Q$122:$Q$124</c:f>
              <c:numCache>
                <c:formatCode>#,##0.00_);\(#,##0.00\)</c:formatCode>
                <c:ptCount val="3"/>
                <c:pt idx="0">
                  <c:v>16.037960812879835</c:v>
                </c:pt>
                <c:pt idx="1">
                  <c:v>14.474603787885012</c:v>
                </c:pt>
                <c:pt idx="2">
                  <c:v>14.164649605266495</c:v>
                </c:pt>
              </c:numCache>
            </c:numRef>
          </c:val>
          <c:extLst>
            <c:ext xmlns:c16="http://schemas.microsoft.com/office/drawing/2014/chart" uri="{C3380CC4-5D6E-409C-BE32-E72D297353CC}">
              <c16:uniqueId val="{00000002-99D0-4E06-A0CF-97CD72F8D6C2}"/>
            </c:ext>
          </c:extLst>
        </c:ser>
        <c:dLbls>
          <c:showLegendKey val="0"/>
          <c:showVal val="0"/>
          <c:showCatName val="0"/>
          <c:showSerName val="0"/>
          <c:showPercent val="0"/>
          <c:showBubbleSize val="0"/>
        </c:dLbls>
        <c:gapWidth val="150"/>
        <c:overlap val="100"/>
        <c:axId val="99639680"/>
        <c:axId val="99641216"/>
      </c:barChart>
      <c:catAx>
        <c:axId val="99639680"/>
        <c:scaling>
          <c:orientation val="minMax"/>
        </c:scaling>
        <c:delete val="0"/>
        <c:axPos val="b"/>
        <c:numFmt formatCode="General" sourceLinked="0"/>
        <c:majorTickMark val="out"/>
        <c:minorTickMark val="none"/>
        <c:tickLblPos val="nextTo"/>
        <c:crossAx val="99641216"/>
        <c:crosses val="autoZero"/>
        <c:auto val="1"/>
        <c:lblAlgn val="ctr"/>
        <c:lblOffset val="100"/>
        <c:noMultiLvlLbl val="0"/>
      </c:catAx>
      <c:valAx>
        <c:axId val="99641216"/>
        <c:scaling>
          <c:orientation val="minMax"/>
          <c:max val="20"/>
          <c:min val="10"/>
        </c:scaling>
        <c:delete val="0"/>
        <c:axPos val="l"/>
        <c:numFmt formatCode="#,##0.0\x;\-#,##0.0\x" sourceLinked="0"/>
        <c:majorTickMark val="out"/>
        <c:minorTickMark val="none"/>
        <c:tickLblPos val="nextTo"/>
        <c:crossAx val="9963968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DCF Equity Valuation Range </a:t>
            </a:r>
          </a:p>
        </c:rich>
      </c:tx>
      <c:layout>
        <c:manualLayout>
          <c:xMode val="edge"/>
          <c:yMode val="edge"/>
          <c:x val="0.31291626892699836"/>
          <c:y val="0"/>
        </c:manualLayout>
      </c:layout>
      <c:overlay val="0"/>
    </c:title>
    <c:autoTitleDeleted val="0"/>
    <c:plotArea>
      <c:layout/>
      <c:barChart>
        <c:barDir val="col"/>
        <c:grouping val="stacked"/>
        <c:varyColors val="0"/>
        <c:ser>
          <c:idx val="0"/>
          <c:order val="0"/>
          <c:spPr>
            <a:noFill/>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'Integrated DCF Empty'!$B$128:$B$130</c:f>
              <c:strCache>
                <c:ptCount val="3"/>
                <c:pt idx="0">
                  <c:v>DCF Value at 11.0x-15.0x Exit EBITDA Range at 9.0% WACC</c:v>
                </c:pt>
                <c:pt idx="1">
                  <c:v>DCF Value at 2.0%-4.0% Perpetuity Range at 9.0% WACC</c:v>
                </c:pt>
                <c:pt idx="2">
                  <c:v>52 Week Market High/Low</c:v>
                </c:pt>
              </c:strCache>
            </c:strRef>
          </c:cat>
          <c:val>
            <c:numRef>
              <c:f>'Integrated DCF Empty'!$C$128:$C$130</c:f>
              <c:numCache>
                <c:formatCode>#,##0.00_);\(#,##0.00\)</c:formatCode>
                <c:ptCount val="3"/>
                <c:pt idx="0">
                  <c:v>0</c:v>
                </c:pt>
                <c:pt idx="1">
                  <c:v>0</c:v>
                </c:pt>
                <c:pt idx="2">
                  <c:v>169.5</c:v>
                </c:pt>
              </c:numCache>
            </c:numRef>
          </c:val>
          <c:extLst>
            <c:ext xmlns:c16="http://schemas.microsoft.com/office/drawing/2014/chart" uri="{C3380CC4-5D6E-409C-BE32-E72D297353CC}">
              <c16:uniqueId val="{00000000-F2F0-4846-A34D-780B043D8808}"/>
            </c:ext>
          </c:extLst>
        </c:ser>
        <c:ser>
          <c:idx val="1"/>
          <c:order val="1"/>
          <c:invertIfNegative val="0"/>
          <c:cat>
            <c:strRef>
              <c:f>'Integrated DCF Empty'!$B$128:$B$130</c:f>
              <c:strCache>
                <c:ptCount val="3"/>
                <c:pt idx="0">
                  <c:v>DCF Value at 11.0x-15.0x Exit EBITDA Range at 9.0% WACC</c:v>
                </c:pt>
                <c:pt idx="1">
                  <c:v>DCF Value at 2.0%-4.0% Perpetuity Range at 9.0% WACC</c:v>
                </c:pt>
                <c:pt idx="2">
                  <c:v>52 Week Market High/Low</c:v>
                </c:pt>
              </c:strCache>
            </c:strRef>
          </c:cat>
          <c:val>
            <c:numRef>
              <c:f>'Integrated DCF Empty'!$D$128:$D$130</c:f>
              <c:numCache>
                <c:formatCode>#,##0.00_);\(#,##0.00\)</c:formatCode>
                <c:ptCount val="3"/>
                <c:pt idx="0">
                  <c:v>0</c:v>
                </c:pt>
                <c:pt idx="1">
                  <c:v>0</c:v>
                </c:pt>
                <c:pt idx="2">
                  <c:v>158.35000000000002</c:v>
                </c:pt>
              </c:numCache>
            </c:numRef>
          </c:val>
          <c:extLst>
            <c:ext xmlns:c16="http://schemas.microsoft.com/office/drawing/2014/chart" uri="{C3380CC4-5D6E-409C-BE32-E72D297353CC}">
              <c16:uniqueId val="{00000001-F2F0-4846-A34D-780B043D8808}"/>
            </c:ext>
          </c:extLst>
        </c:ser>
        <c:ser>
          <c:idx val="2"/>
          <c:order val="2"/>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'Integrated DCF Empty'!$B$128:$B$130</c:f>
              <c:strCache>
                <c:ptCount val="3"/>
                <c:pt idx="0">
                  <c:v>DCF Value at 11.0x-15.0x Exit EBITDA Range at 9.0% WACC</c:v>
                </c:pt>
                <c:pt idx="1">
                  <c:v>DCF Value at 2.0%-4.0% Perpetuity Range at 9.0% WACC</c:v>
                </c:pt>
                <c:pt idx="2">
                  <c:v>52 Week Market High/Low</c:v>
                </c:pt>
              </c:strCache>
            </c:strRef>
          </c:cat>
          <c:val>
            <c:numRef>
              <c:f>'Integrated DCF Empty'!$E$128:$E$130</c:f>
              <c:numCache>
                <c:formatCode>#,##0.00_);\(#,##0.00\)</c:formatCode>
                <c:ptCount val="3"/>
                <c:pt idx="0">
                  <c:v>0</c:v>
                </c:pt>
                <c:pt idx="1">
                  <c:v>0</c:v>
                </c:pt>
                <c:pt idx="2">
                  <c:v>327.85</c:v>
                </c:pt>
              </c:numCache>
            </c:numRef>
          </c:val>
          <c:extLst>
            <c:ext xmlns:c16="http://schemas.microsoft.com/office/drawing/2014/chart" uri="{C3380CC4-5D6E-409C-BE32-E72D297353CC}">
              <c16:uniqueId val="{00000002-F2F0-4846-A34D-780B043D8808}"/>
            </c:ext>
          </c:extLst>
        </c:ser>
        <c:dLbls>
          <c:showLegendKey val="0"/>
          <c:showVal val="0"/>
          <c:showCatName val="0"/>
          <c:showSerName val="0"/>
          <c:showPercent val="0"/>
          <c:showBubbleSize val="0"/>
        </c:dLbls>
        <c:gapWidth val="150"/>
        <c:overlap val="100"/>
        <c:axId val="99639680"/>
        <c:axId val="99641216"/>
      </c:barChart>
      <c:catAx>
        <c:axId val="99639680"/>
        <c:scaling>
          <c:orientation val="minMax"/>
        </c:scaling>
        <c:delete val="0"/>
        <c:axPos val="b"/>
        <c:numFmt formatCode="General" sourceLinked="0"/>
        <c:majorTickMark val="out"/>
        <c:minorTickMark val="none"/>
        <c:tickLblPos val="nextTo"/>
        <c:crossAx val="99641216"/>
        <c:crosses val="autoZero"/>
        <c:auto val="1"/>
        <c:lblAlgn val="ctr"/>
        <c:lblOffset val="100"/>
        <c:noMultiLvlLbl val="0"/>
      </c:catAx>
      <c:valAx>
        <c:axId val="99641216"/>
        <c:scaling>
          <c:orientation val="minMax"/>
          <c:max val="400"/>
          <c:min val="100"/>
        </c:scaling>
        <c:delete val="0"/>
        <c:axPos val="l"/>
        <c:numFmt formatCode="#,##0.00_);\(#,##0.00\)" sourceLinked="1"/>
        <c:majorTickMark val="out"/>
        <c:minorTickMark val="none"/>
        <c:tickLblPos val="nextTo"/>
        <c:crossAx val="9963968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LTM EBITDA Multiple Range</a:t>
            </a:r>
          </a:p>
        </c:rich>
      </c:tx>
      <c:layout>
        <c:manualLayout>
          <c:xMode val="edge"/>
          <c:yMode val="edge"/>
          <c:x val="0.31291626892699836"/>
          <c:y val="0"/>
        </c:manualLayout>
      </c:layout>
      <c:overlay val="0"/>
    </c:title>
    <c:autoTitleDeleted val="0"/>
    <c:plotArea>
      <c:layout/>
      <c:barChart>
        <c:barDir val="col"/>
        <c:grouping val="stacked"/>
        <c:varyColors val="0"/>
        <c:ser>
          <c:idx val="0"/>
          <c:order val="0"/>
          <c:spPr>
            <a:noFill/>
          </c:spPr>
          <c:invertIfNegative val="0"/>
          <c:dLbls>
            <c:numFmt formatCode="#,##0.0\x;\-#,##0.0\x" sourceLinked="0"/>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'Integrated DCF Empty'!$G$128:$G$130</c:f>
              <c:strCache>
                <c:ptCount val="3"/>
                <c:pt idx="0">
                  <c:v>LTM EBITDA Purchase Multiple at 2.0%-4.0% Perpetuity Growth at 9.0% WACC</c:v>
                </c:pt>
                <c:pt idx="1">
                  <c:v>#DIV/0!</c:v>
                </c:pt>
                <c:pt idx="2">
                  <c:v>LTM EBITDA Purchase Multiple at 7.0%-11.0% WACC at 13.0x Exit EBITDA</c:v>
                </c:pt>
              </c:strCache>
            </c:strRef>
          </c:cat>
          <c:val>
            <c:numRef>
              <c:f>'Integrated DCF Empty'!$O$128:$O$130</c:f>
              <c:numCache>
                <c:formatCode>#,##0.00_);\(#,##0.00\)</c:formatCode>
                <c:ptCount val="3"/>
                <c:pt idx="0">
                  <c:v>0</c:v>
                </c:pt>
                <c:pt idx="1">
                  <c:v>0</c:v>
                </c:pt>
                <c:pt idx="2">
                  <c:v>0</c:v>
                </c:pt>
              </c:numCache>
            </c:numRef>
          </c:val>
          <c:extLst>
            <c:ext xmlns:c16="http://schemas.microsoft.com/office/drawing/2014/chart" uri="{C3380CC4-5D6E-409C-BE32-E72D297353CC}">
              <c16:uniqueId val="{00000000-7971-432E-8807-1F44B846880A}"/>
            </c:ext>
          </c:extLst>
        </c:ser>
        <c:ser>
          <c:idx val="1"/>
          <c:order val="1"/>
          <c:spPr>
            <a:solidFill>
              <a:schemeClr val="tx2"/>
            </a:solidFill>
          </c:spPr>
          <c:invertIfNegative val="0"/>
          <c:cat>
            <c:strRef>
              <c:f>'Integrated DCF Empty'!$G$128:$G$130</c:f>
              <c:strCache>
                <c:ptCount val="3"/>
                <c:pt idx="0">
                  <c:v>LTM EBITDA Purchase Multiple at 2.0%-4.0% Perpetuity Growth at 9.0% WACC</c:v>
                </c:pt>
                <c:pt idx="1">
                  <c:v>#DIV/0!</c:v>
                </c:pt>
                <c:pt idx="2">
                  <c:v>LTM EBITDA Purchase Multiple at 7.0%-11.0% WACC at 13.0x Exit EBITDA</c:v>
                </c:pt>
              </c:strCache>
            </c:strRef>
          </c:cat>
          <c:val>
            <c:numRef>
              <c:f>'Integrated DCF Empty'!$P$128:$P$130</c:f>
              <c:numCache>
                <c:formatCode>#,##0.00_);\(#,##0.00\)</c:formatCode>
                <c:ptCount val="3"/>
                <c:pt idx="0">
                  <c:v>0</c:v>
                </c:pt>
                <c:pt idx="1">
                  <c:v>0</c:v>
                </c:pt>
                <c:pt idx="2">
                  <c:v>0</c:v>
                </c:pt>
              </c:numCache>
            </c:numRef>
          </c:val>
          <c:extLst>
            <c:ext xmlns:c16="http://schemas.microsoft.com/office/drawing/2014/chart" uri="{C3380CC4-5D6E-409C-BE32-E72D297353CC}">
              <c16:uniqueId val="{00000001-7971-432E-8807-1F44B846880A}"/>
            </c:ext>
          </c:extLst>
        </c:ser>
        <c:ser>
          <c:idx val="2"/>
          <c:order val="2"/>
          <c:spPr>
            <a:noFill/>
          </c:spPr>
          <c:invertIfNegative val="0"/>
          <c:dLbls>
            <c:numFmt formatCode="#,##0.0\x;\-#,##0.0\x"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'Integrated DCF Empty'!$G$128:$G$130</c:f>
              <c:strCache>
                <c:ptCount val="3"/>
                <c:pt idx="0">
                  <c:v>LTM EBITDA Purchase Multiple at 2.0%-4.0% Perpetuity Growth at 9.0% WACC</c:v>
                </c:pt>
                <c:pt idx="1">
                  <c:v>#DIV/0!</c:v>
                </c:pt>
                <c:pt idx="2">
                  <c:v>LTM EBITDA Purchase Multiple at 7.0%-11.0% WACC at 13.0x Exit EBITDA</c:v>
                </c:pt>
              </c:strCache>
            </c:strRef>
          </c:cat>
          <c:val>
            <c:numRef>
              <c:f>'Integrated DCF Empty'!$Q$128:$Q$130</c:f>
              <c:numCache>
                <c:formatCode>#,##0.00_);\(#,##0.00\)</c:formatCode>
                <c:ptCount val="3"/>
                <c:pt idx="0">
                  <c:v>0</c:v>
                </c:pt>
                <c:pt idx="1">
                  <c:v>0</c:v>
                </c:pt>
                <c:pt idx="2">
                  <c:v>0</c:v>
                </c:pt>
              </c:numCache>
            </c:numRef>
          </c:val>
          <c:extLst>
            <c:ext xmlns:c16="http://schemas.microsoft.com/office/drawing/2014/chart" uri="{C3380CC4-5D6E-409C-BE32-E72D297353CC}">
              <c16:uniqueId val="{00000002-7971-432E-8807-1F44B846880A}"/>
            </c:ext>
          </c:extLst>
        </c:ser>
        <c:dLbls>
          <c:showLegendKey val="0"/>
          <c:showVal val="0"/>
          <c:showCatName val="0"/>
          <c:showSerName val="0"/>
          <c:showPercent val="0"/>
          <c:showBubbleSize val="0"/>
        </c:dLbls>
        <c:gapWidth val="150"/>
        <c:overlap val="100"/>
        <c:axId val="99639680"/>
        <c:axId val="99641216"/>
      </c:barChart>
      <c:catAx>
        <c:axId val="99639680"/>
        <c:scaling>
          <c:orientation val="minMax"/>
        </c:scaling>
        <c:delete val="0"/>
        <c:axPos val="b"/>
        <c:numFmt formatCode="General" sourceLinked="0"/>
        <c:majorTickMark val="out"/>
        <c:minorTickMark val="none"/>
        <c:tickLblPos val="nextTo"/>
        <c:crossAx val="99641216"/>
        <c:crosses val="autoZero"/>
        <c:auto val="1"/>
        <c:lblAlgn val="ctr"/>
        <c:lblOffset val="100"/>
        <c:noMultiLvlLbl val="0"/>
      </c:catAx>
      <c:valAx>
        <c:axId val="99641216"/>
        <c:scaling>
          <c:orientation val="minMax"/>
          <c:max val="20"/>
          <c:min val="10"/>
        </c:scaling>
        <c:delete val="0"/>
        <c:axPos val="l"/>
        <c:numFmt formatCode="#,##0.0\x;\-#,##0.0\x" sourceLinked="0"/>
        <c:majorTickMark val="out"/>
        <c:minorTickMark val="none"/>
        <c:tickLblPos val="nextTo"/>
        <c:crossAx val="9963968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DCF Equity Valuation Range </a:t>
            </a:r>
          </a:p>
        </c:rich>
      </c:tx>
      <c:layout>
        <c:manualLayout>
          <c:xMode val="edge"/>
          <c:yMode val="edge"/>
          <c:x val="0.31291626892699836"/>
          <c:y val="0"/>
        </c:manualLayout>
      </c:layout>
      <c:overlay val="0"/>
    </c:title>
    <c:autoTitleDeleted val="0"/>
    <c:plotArea>
      <c:layout/>
      <c:barChart>
        <c:barDir val="col"/>
        <c:grouping val="stacked"/>
        <c:varyColors val="0"/>
        <c:ser>
          <c:idx val="0"/>
          <c:order val="0"/>
          <c:spPr>
            <a:noFill/>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'Integrated DCF'!$B$128:$B$130</c:f>
              <c:strCache>
                <c:ptCount val="3"/>
                <c:pt idx="0">
                  <c:v>DCF Value at 11.0x-15.0x Exit EBITDA Range at 9.0% WACC</c:v>
                </c:pt>
                <c:pt idx="1">
                  <c:v>DCF Value at 2.0%-4.0% Perpetuity Range at 9.0% WACC</c:v>
                </c:pt>
                <c:pt idx="2">
                  <c:v>52 Week Market High/Low</c:v>
                </c:pt>
              </c:strCache>
            </c:strRef>
          </c:cat>
          <c:val>
            <c:numRef>
              <c:f>'Integrated DCF'!$C$128:$C$130</c:f>
              <c:numCache>
                <c:formatCode>#,##0.00_);\(#,##0.00\)</c:formatCode>
                <c:ptCount val="3"/>
                <c:pt idx="0">
                  <c:v>0</c:v>
                </c:pt>
                <c:pt idx="1">
                  <c:v>0</c:v>
                </c:pt>
                <c:pt idx="2">
                  <c:v>169.5</c:v>
                </c:pt>
              </c:numCache>
            </c:numRef>
          </c:val>
          <c:extLst>
            <c:ext xmlns:c16="http://schemas.microsoft.com/office/drawing/2014/chart" uri="{C3380CC4-5D6E-409C-BE32-E72D297353CC}">
              <c16:uniqueId val="{00000000-C13A-4424-A045-E8BA52B28D2E}"/>
            </c:ext>
          </c:extLst>
        </c:ser>
        <c:ser>
          <c:idx val="1"/>
          <c:order val="1"/>
          <c:invertIfNegative val="0"/>
          <c:cat>
            <c:strRef>
              <c:f>'Integrated DCF'!$B$128:$B$130</c:f>
              <c:strCache>
                <c:ptCount val="3"/>
                <c:pt idx="0">
                  <c:v>DCF Value at 11.0x-15.0x Exit EBITDA Range at 9.0% WACC</c:v>
                </c:pt>
                <c:pt idx="1">
                  <c:v>DCF Value at 2.0%-4.0% Perpetuity Range at 9.0% WACC</c:v>
                </c:pt>
                <c:pt idx="2">
                  <c:v>52 Week Market High/Low</c:v>
                </c:pt>
              </c:strCache>
            </c:strRef>
          </c:cat>
          <c:val>
            <c:numRef>
              <c:f>'Integrated DCF'!$D$128:$D$130</c:f>
              <c:numCache>
                <c:formatCode>#,##0.00_);\(#,##0.00\)</c:formatCode>
                <c:ptCount val="3"/>
                <c:pt idx="0">
                  <c:v>0</c:v>
                </c:pt>
                <c:pt idx="1">
                  <c:v>0</c:v>
                </c:pt>
                <c:pt idx="2">
                  <c:v>158.35000000000002</c:v>
                </c:pt>
              </c:numCache>
            </c:numRef>
          </c:val>
          <c:extLst>
            <c:ext xmlns:c16="http://schemas.microsoft.com/office/drawing/2014/chart" uri="{C3380CC4-5D6E-409C-BE32-E72D297353CC}">
              <c16:uniqueId val="{00000001-C13A-4424-A045-E8BA52B28D2E}"/>
            </c:ext>
          </c:extLst>
        </c:ser>
        <c:ser>
          <c:idx val="2"/>
          <c:order val="2"/>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'Integrated DCF'!$B$128:$B$130</c:f>
              <c:strCache>
                <c:ptCount val="3"/>
                <c:pt idx="0">
                  <c:v>DCF Value at 11.0x-15.0x Exit EBITDA Range at 9.0% WACC</c:v>
                </c:pt>
                <c:pt idx="1">
                  <c:v>DCF Value at 2.0%-4.0% Perpetuity Range at 9.0% WACC</c:v>
                </c:pt>
                <c:pt idx="2">
                  <c:v>52 Week Market High/Low</c:v>
                </c:pt>
              </c:strCache>
            </c:strRef>
          </c:cat>
          <c:val>
            <c:numRef>
              <c:f>'Integrated DCF'!$E$128:$E$130</c:f>
              <c:numCache>
                <c:formatCode>#,##0.00_);\(#,##0.00\)</c:formatCode>
                <c:ptCount val="3"/>
                <c:pt idx="0">
                  <c:v>0</c:v>
                </c:pt>
                <c:pt idx="1">
                  <c:v>0</c:v>
                </c:pt>
                <c:pt idx="2">
                  <c:v>327.85</c:v>
                </c:pt>
              </c:numCache>
            </c:numRef>
          </c:val>
          <c:extLst>
            <c:ext xmlns:c16="http://schemas.microsoft.com/office/drawing/2014/chart" uri="{C3380CC4-5D6E-409C-BE32-E72D297353CC}">
              <c16:uniqueId val="{00000002-C13A-4424-A045-E8BA52B28D2E}"/>
            </c:ext>
          </c:extLst>
        </c:ser>
        <c:dLbls>
          <c:showLegendKey val="0"/>
          <c:showVal val="0"/>
          <c:showCatName val="0"/>
          <c:showSerName val="0"/>
          <c:showPercent val="0"/>
          <c:showBubbleSize val="0"/>
        </c:dLbls>
        <c:gapWidth val="150"/>
        <c:overlap val="100"/>
        <c:axId val="99639680"/>
        <c:axId val="99641216"/>
      </c:barChart>
      <c:catAx>
        <c:axId val="99639680"/>
        <c:scaling>
          <c:orientation val="minMax"/>
        </c:scaling>
        <c:delete val="0"/>
        <c:axPos val="b"/>
        <c:numFmt formatCode="General" sourceLinked="0"/>
        <c:majorTickMark val="out"/>
        <c:minorTickMark val="none"/>
        <c:tickLblPos val="nextTo"/>
        <c:crossAx val="99641216"/>
        <c:crosses val="autoZero"/>
        <c:auto val="1"/>
        <c:lblAlgn val="ctr"/>
        <c:lblOffset val="100"/>
        <c:noMultiLvlLbl val="0"/>
      </c:catAx>
      <c:valAx>
        <c:axId val="99641216"/>
        <c:scaling>
          <c:orientation val="minMax"/>
          <c:max val="400"/>
          <c:min val="100"/>
        </c:scaling>
        <c:delete val="0"/>
        <c:axPos val="l"/>
        <c:numFmt formatCode="#,##0.00_);\(#,##0.00\)" sourceLinked="1"/>
        <c:majorTickMark val="out"/>
        <c:minorTickMark val="none"/>
        <c:tickLblPos val="nextTo"/>
        <c:crossAx val="9963968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LTM EBITDA Multiple Range</a:t>
            </a:r>
          </a:p>
        </c:rich>
      </c:tx>
      <c:layout>
        <c:manualLayout>
          <c:xMode val="edge"/>
          <c:yMode val="edge"/>
          <c:x val="0.31291626892699836"/>
          <c:y val="0"/>
        </c:manualLayout>
      </c:layout>
      <c:overlay val="0"/>
    </c:title>
    <c:autoTitleDeleted val="0"/>
    <c:plotArea>
      <c:layout/>
      <c:barChart>
        <c:barDir val="col"/>
        <c:grouping val="stacked"/>
        <c:varyColors val="0"/>
        <c:ser>
          <c:idx val="0"/>
          <c:order val="0"/>
          <c:spPr>
            <a:noFill/>
          </c:spPr>
          <c:invertIfNegative val="0"/>
          <c:dLbls>
            <c:numFmt formatCode="#,##0.0\x;\-#,##0.0\x" sourceLinked="0"/>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'Integrated DCF'!$G$128:$G$130</c:f>
              <c:strCache>
                <c:ptCount val="3"/>
                <c:pt idx="0">
                  <c:v>LTM EBITDA Purchase Multiple at 2.0%-4.0% Perpetuity Growth at 9.0% WACC</c:v>
                </c:pt>
                <c:pt idx="1">
                  <c:v>LTM EBITDA Purchase Multiple at 13.1x-16.7x Exit EBITDA Multiple at 9.0% WACC</c:v>
                </c:pt>
                <c:pt idx="2">
                  <c:v>LTM EBITDA Purchase Multiple at 7.0%-11.0% WACC at 13.0x Exit EBITDA</c:v>
                </c:pt>
              </c:strCache>
            </c:strRef>
          </c:cat>
          <c:val>
            <c:numRef>
              <c:f>'Integrated DCF'!$O$128:$O$130</c:f>
              <c:numCache>
                <c:formatCode>#,##0.00_);\(#,##0.00\)</c:formatCode>
                <c:ptCount val="3"/>
                <c:pt idx="0">
                  <c:v>12.832501802687379</c:v>
                </c:pt>
                <c:pt idx="1">
                  <c:v>13.109295073001569</c:v>
                </c:pt>
                <c:pt idx="2">
                  <c:v>13.826590996388775</c:v>
                </c:pt>
              </c:numCache>
            </c:numRef>
          </c:val>
          <c:extLst>
            <c:ext xmlns:c16="http://schemas.microsoft.com/office/drawing/2014/chart" uri="{C3380CC4-5D6E-409C-BE32-E72D297353CC}">
              <c16:uniqueId val="{00000000-1C49-4612-9164-E483C156A34D}"/>
            </c:ext>
          </c:extLst>
        </c:ser>
        <c:ser>
          <c:idx val="1"/>
          <c:order val="1"/>
          <c:spPr>
            <a:solidFill>
              <a:schemeClr val="tx2"/>
            </a:solidFill>
          </c:spPr>
          <c:invertIfNegative val="0"/>
          <c:cat>
            <c:strRef>
              <c:f>'Integrated DCF'!$G$128:$G$130</c:f>
              <c:strCache>
                <c:ptCount val="3"/>
                <c:pt idx="0">
                  <c:v>LTM EBITDA Purchase Multiple at 2.0%-4.0% Perpetuity Growth at 9.0% WACC</c:v>
                </c:pt>
                <c:pt idx="1">
                  <c:v>LTM EBITDA Purchase Multiple at 13.1x-16.7x Exit EBITDA Multiple at 9.0% WACC</c:v>
                </c:pt>
                <c:pt idx="2">
                  <c:v>LTM EBITDA Purchase Multiple at 7.0%-11.0% WACC at 13.0x Exit EBITDA</c:v>
                </c:pt>
              </c:strCache>
            </c:strRef>
          </c:cat>
          <c:val>
            <c:numRef>
              <c:f>'Integrated DCF'!$P$128:$P$130</c:f>
              <c:numCache>
                <c:formatCode>#,##0.00_);\(#,##0.00\)</c:formatCode>
                <c:ptCount val="3"/>
                <c:pt idx="0">
                  <c:v>4.144000549505126</c:v>
                </c:pt>
                <c:pt idx="1">
                  <c:v>3.6259903472495552</c:v>
                </c:pt>
                <c:pt idx="2">
                  <c:v>2.3061658520416284</c:v>
                </c:pt>
              </c:numCache>
            </c:numRef>
          </c:val>
          <c:extLst>
            <c:ext xmlns:c16="http://schemas.microsoft.com/office/drawing/2014/chart" uri="{C3380CC4-5D6E-409C-BE32-E72D297353CC}">
              <c16:uniqueId val="{00000001-1C49-4612-9164-E483C156A34D}"/>
            </c:ext>
          </c:extLst>
        </c:ser>
        <c:ser>
          <c:idx val="2"/>
          <c:order val="2"/>
          <c:spPr>
            <a:noFill/>
          </c:spPr>
          <c:invertIfNegative val="0"/>
          <c:dLbls>
            <c:numFmt formatCode="#,##0.0\x;\-#,##0.0\x"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'Integrated DCF'!$G$128:$G$130</c:f>
              <c:strCache>
                <c:ptCount val="3"/>
                <c:pt idx="0">
                  <c:v>LTM EBITDA Purchase Multiple at 2.0%-4.0% Perpetuity Growth at 9.0% WACC</c:v>
                </c:pt>
                <c:pt idx="1">
                  <c:v>LTM EBITDA Purchase Multiple at 13.1x-16.7x Exit EBITDA Multiple at 9.0% WACC</c:v>
                </c:pt>
                <c:pt idx="2">
                  <c:v>LTM EBITDA Purchase Multiple at 7.0%-11.0% WACC at 13.0x Exit EBITDA</c:v>
                </c:pt>
              </c:strCache>
            </c:strRef>
          </c:cat>
          <c:val>
            <c:numRef>
              <c:f>'Integrated DCF'!$Q$128:$Q$130</c:f>
              <c:numCache>
                <c:formatCode>#,##0.00_);\(#,##0.00\)</c:formatCode>
                <c:ptCount val="3"/>
                <c:pt idx="0">
                  <c:v>16.976502352192504</c:v>
                </c:pt>
                <c:pt idx="1">
                  <c:v>16.735285420251124</c:v>
                </c:pt>
                <c:pt idx="2">
                  <c:v>16.132756848430404</c:v>
                </c:pt>
              </c:numCache>
            </c:numRef>
          </c:val>
          <c:extLst>
            <c:ext xmlns:c16="http://schemas.microsoft.com/office/drawing/2014/chart" uri="{C3380CC4-5D6E-409C-BE32-E72D297353CC}">
              <c16:uniqueId val="{00000002-1C49-4612-9164-E483C156A34D}"/>
            </c:ext>
          </c:extLst>
        </c:ser>
        <c:dLbls>
          <c:showLegendKey val="0"/>
          <c:showVal val="0"/>
          <c:showCatName val="0"/>
          <c:showSerName val="0"/>
          <c:showPercent val="0"/>
          <c:showBubbleSize val="0"/>
        </c:dLbls>
        <c:gapWidth val="150"/>
        <c:overlap val="100"/>
        <c:axId val="99639680"/>
        <c:axId val="99641216"/>
      </c:barChart>
      <c:catAx>
        <c:axId val="99639680"/>
        <c:scaling>
          <c:orientation val="minMax"/>
        </c:scaling>
        <c:delete val="0"/>
        <c:axPos val="b"/>
        <c:numFmt formatCode="General" sourceLinked="0"/>
        <c:majorTickMark val="out"/>
        <c:minorTickMark val="none"/>
        <c:tickLblPos val="nextTo"/>
        <c:crossAx val="99641216"/>
        <c:crosses val="autoZero"/>
        <c:auto val="1"/>
        <c:lblAlgn val="ctr"/>
        <c:lblOffset val="100"/>
        <c:noMultiLvlLbl val="0"/>
      </c:catAx>
      <c:valAx>
        <c:axId val="99641216"/>
        <c:scaling>
          <c:orientation val="minMax"/>
          <c:max val="20"/>
          <c:min val="10"/>
        </c:scaling>
        <c:delete val="0"/>
        <c:axPos val="l"/>
        <c:numFmt formatCode="#,##0.0\x;\-#,##0.0\x" sourceLinked="0"/>
        <c:majorTickMark val="out"/>
        <c:minorTickMark val="none"/>
        <c:tickLblPos val="nextTo"/>
        <c:crossAx val="9963968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ustomXml" Target="../ink/ink1.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53578</xdr:colOff>
      <xdr:row>100</xdr:row>
      <xdr:rowOff>149424</xdr:rowOff>
    </xdr:from>
    <xdr:to>
      <xdr:col>4</xdr:col>
      <xdr:colOff>654844</xdr:colOff>
      <xdr:row>119</xdr:row>
      <xdr:rowOff>53578</xdr:rowOff>
    </xdr:to>
    <xdr:graphicFrame macro="">
      <xdr:nvGraphicFramePr>
        <xdr:cNvPr id="2" name="Chart 1">
          <a:extLst>
            <a:ext uri="{FF2B5EF4-FFF2-40B4-BE49-F238E27FC236}">
              <a16:creationId xmlns:a16="http://schemas.microsoft.com/office/drawing/2014/main" id="{AC520FD0-CAC5-4B81-96A7-9FC1459E21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47228</xdr:colOff>
      <xdr:row>100</xdr:row>
      <xdr:rowOff>149424</xdr:rowOff>
    </xdr:from>
    <xdr:to>
      <xdr:col>15</xdr:col>
      <xdr:colOff>657225</xdr:colOff>
      <xdr:row>119</xdr:row>
      <xdr:rowOff>47228</xdr:rowOff>
    </xdr:to>
    <xdr:graphicFrame macro="">
      <xdr:nvGraphicFramePr>
        <xdr:cNvPr id="3" name="Chart 2">
          <a:extLst>
            <a:ext uri="{FF2B5EF4-FFF2-40B4-BE49-F238E27FC236}">
              <a16:creationId xmlns:a16="http://schemas.microsoft.com/office/drawing/2014/main" id="{94638A8B-64FC-4969-B8EA-A1A7A53A70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53578</xdr:colOff>
      <xdr:row>100</xdr:row>
      <xdr:rowOff>149424</xdr:rowOff>
    </xdr:from>
    <xdr:to>
      <xdr:col>4</xdr:col>
      <xdr:colOff>654844</xdr:colOff>
      <xdr:row>119</xdr:row>
      <xdr:rowOff>53578</xdr:rowOff>
    </xdr:to>
    <xdr:graphicFrame macro="">
      <xdr:nvGraphicFramePr>
        <xdr:cNvPr id="2" name="Chart 1">
          <a:extLst>
            <a:ext uri="{FF2B5EF4-FFF2-40B4-BE49-F238E27FC236}">
              <a16:creationId xmlns:a16="http://schemas.microsoft.com/office/drawing/2014/main" id="{A1AF8079-E228-418C-9971-E1A08CC90A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47228</xdr:colOff>
      <xdr:row>100</xdr:row>
      <xdr:rowOff>149424</xdr:rowOff>
    </xdr:from>
    <xdr:to>
      <xdr:col>15</xdr:col>
      <xdr:colOff>657225</xdr:colOff>
      <xdr:row>119</xdr:row>
      <xdr:rowOff>47228</xdr:rowOff>
    </xdr:to>
    <xdr:graphicFrame macro="">
      <xdr:nvGraphicFramePr>
        <xdr:cNvPr id="3" name="Chart 2">
          <a:extLst>
            <a:ext uri="{FF2B5EF4-FFF2-40B4-BE49-F238E27FC236}">
              <a16:creationId xmlns:a16="http://schemas.microsoft.com/office/drawing/2014/main" id="{B7737DAF-E3A1-43FE-8E2E-6944F44F2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53578</xdr:colOff>
      <xdr:row>100</xdr:row>
      <xdr:rowOff>149424</xdr:rowOff>
    </xdr:from>
    <xdr:to>
      <xdr:col>4</xdr:col>
      <xdr:colOff>654844</xdr:colOff>
      <xdr:row>119</xdr:row>
      <xdr:rowOff>53578</xdr:rowOff>
    </xdr:to>
    <xdr:graphicFrame macro="">
      <xdr:nvGraphicFramePr>
        <xdr:cNvPr id="2" name="Chart 1">
          <a:extLst>
            <a:ext uri="{FF2B5EF4-FFF2-40B4-BE49-F238E27FC236}">
              <a16:creationId xmlns:a16="http://schemas.microsoft.com/office/drawing/2014/main" id="{654B1E67-4F77-492D-A60C-7CE763466A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47228</xdr:colOff>
      <xdr:row>100</xdr:row>
      <xdr:rowOff>149424</xdr:rowOff>
    </xdr:from>
    <xdr:to>
      <xdr:col>15</xdr:col>
      <xdr:colOff>657225</xdr:colOff>
      <xdr:row>119</xdr:row>
      <xdr:rowOff>47228</xdr:rowOff>
    </xdr:to>
    <xdr:graphicFrame macro="">
      <xdr:nvGraphicFramePr>
        <xdr:cNvPr id="3" name="Chart 2">
          <a:extLst>
            <a:ext uri="{FF2B5EF4-FFF2-40B4-BE49-F238E27FC236}">
              <a16:creationId xmlns:a16="http://schemas.microsoft.com/office/drawing/2014/main" id="{11EBEE9F-6329-440C-A904-7B09EF7355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158892</xdr:colOff>
      <xdr:row>52</xdr:row>
      <xdr:rowOff>24873</xdr:rowOff>
    </xdr:from>
    <xdr:to>
      <xdr:col>1</xdr:col>
      <xdr:colOff>161052</xdr:colOff>
      <xdr:row>52</xdr:row>
      <xdr:rowOff>39633</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4" name="Ink 3">
              <a:extLst>
                <a:ext uri="{FF2B5EF4-FFF2-40B4-BE49-F238E27FC236}">
                  <a16:creationId xmlns:a16="http://schemas.microsoft.com/office/drawing/2014/main" id="{C15BED19-07B8-4C63-BDC0-29D8B9200038}"/>
                </a:ext>
              </a:extLst>
            </xdr14:cNvPr>
            <xdr14:cNvContentPartPr/>
          </xdr14:nvContentPartPr>
          <xdr14:nvPr macro=""/>
          <xdr14:xfrm>
            <a:off x="400680" y="10004142"/>
            <a:ext cx="2160" cy="14760"/>
          </xdr14:xfrm>
        </xdr:contentPart>
      </mc:Choice>
      <mc:Fallback xmlns="">
        <xdr:pic>
          <xdr:nvPicPr>
            <xdr:cNvPr id="4" name="Ink 3">
              <a:extLst>
                <a:ext uri="{FF2B5EF4-FFF2-40B4-BE49-F238E27FC236}">
                  <a16:creationId xmlns:a16="http://schemas.microsoft.com/office/drawing/2014/main" id="{4B41F823-46A7-41E1-8EF3-D118193619F5}"/>
                </a:ext>
              </a:extLst>
            </xdr:cNvPr>
            <xdr:cNvPicPr/>
          </xdr:nvPicPr>
          <xdr:blipFill>
            <a:blip xmlns:r="http://schemas.openxmlformats.org/officeDocument/2006/relationships" r:embed="rId4"/>
            <a:stretch>
              <a:fillRect/>
            </a:stretch>
          </xdr:blipFill>
          <xdr:spPr>
            <a:xfrm>
              <a:off x="391680" y="9995502"/>
              <a:ext cx="19800" cy="324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xdr:col>
      <xdr:colOff>53578</xdr:colOff>
      <xdr:row>106</xdr:row>
      <xdr:rowOff>149424</xdr:rowOff>
    </xdr:from>
    <xdr:to>
      <xdr:col>4</xdr:col>
      <xdr:colOff>654844</xdr:colOff>
      <xdr:row>125</xdr:row>
      <xdr:rowOff>53578</xdr:rowOff>
    </xdr:to>
    <xdr:graphicFrame macro="">
      <xdr:nvGraphicFramePr>
        <xdr:cNvPr id="2" name="Chart 1">
          <a:extLst>
            <a:ext uri="{FF2B5EF4-FFF2-40B4-BE49-F238E27FC236}">
              <a16:creationId xmlns:a16="http://schemas.microsoft.com/office/drawing/2014/main" id="{57C6107F-035E-44E6-B12F-B46B8B2A8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47228</xdr:colOff>
      <xdr:row>106</xdr:row>
      <xdr:rowOff>149424</xdr:rowOff>
    </xdr:from>
    <xdr:to>
      <xdr:col>15</xdr:col>
      <xdr:colOff>657225</xdr:colOff>
      <xdr:row>125</xdr:row>
      <xdr:rowOff>47228</xdr:rowOff>
    </xdr:to>
    <xdr:graphicFrame macro="">
      <xdr:nvGraphicFramePr>
        <xdr:cNvPr id="3" name="Chart 2">
          <a:extLst>
            <a:ext uri="{FF2B5EF4-FFF2-40B4-BE49-F238E27FC236}">
              <a16:creationId xmlns:a16="http://schemas.microsoft.com/office/drawing/2014/main" id="{7D9DD76C-85CA-4F28-8174-72D01A0BDE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53578</xdr:colOff>
      <xdr:row>106</xdr:row>
      <xdr:rowOff>149424</xdr:rowOff>
    </xdr:from>
    <xdr:to>
      <xdr:col>4</xdr:col>
      <xdr:colOff>654844</xdr:colOff>
      <xdr:row>125</xdr:row>
      <xdr:rowOff>53578</xdr:rowOff>
    </xdr:to>
    <xdr:graphicFrame macro="">
      <xdr:nvGraphicFramePr>
        <xdr:cNvPr id="2" name="Chart 1">
          <a:extLst>
            <a:ext uri="{FF2B5EF4-FFF2-40B4-BE49-F238E27FC236}">
              <a16:creationId xmlns:a16="http://schemas.microsoft.com/office/drawing/2014/main" id="{7D1A2AD6-733E-4C6C-9215-D30FE280B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47228</xdr:colOff>
      <xdr:row>106</xdr:row>
      <xdr:rowOff>149424</xdr:rowOff>
    </xdr:from>
    <xdr:to>
      <xdr:col>15</xdr:col>
      <xdr:colOff>657225</xdr:colOff>
      <xdr:row>125</xdr:row>
      <xdr:rowOff>47228</xdr:rowOff>
    </xdr:to>
    <xdr:graphicFrame macro="">
      <xdr:nvGraphicFramePr>
        <xdr:cNvPr id="3" name="Chart 2">
          <a:extLst>
            <a:ext uri="{FF2B5EF4-FFF2-40B4-BE49-F238E27FC236}">
              <a16:creationId xmlns:a16="http://schemas.microsoft.com/office/drawing/2014/main" id="{7FEDA87B-61B8-4D79-BEB9-914499712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an/Downloads/DCF%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s "/>
      <sheetName val="Simple DCF Empty"/>
      <sheetName val="Simple DCF Done"/>
      <sheetName val="WACC Empty"/>
      <sheetName val="WACC Done"/>
      <sheetName val="Shares Empty"/>
      <sheetName val="Shares"/>
      <sheetName val="DCF 1-Pager"/>
      <sheetName val="2019 FSM Update Complete"/>
      <sheetName val="Integrated DCF Empty"/>
      <sheetName val="Integrated DCF"/>
    </sheetNames>
    <sheetDataSet>
      <sheetData sheetId="0"/>
      <sheetData sheetId="1">
        <row r="122">
          <cell r="B122" t="str">
            <v>DCF Value at 11.5x-13.5x Exit EBITDA Range at 9.0% WACC</v>
          </cell>
          <cell r="C122">
            <v>0</v>
          </cell>
          <cell r="D122">
            <v>0</v>
          </cell>
          <cell r="E122">
            <v>0</v>
          </cell>
          <cell r="G122" t="str">
            <v>LTM EBITDA Purchase Multiple at 2.0%-4.0% Perpetuity Growth at 9.0% WACC</v>
          </cell>
          <cell r="O122">
            <v>0</v>
          </cell>
          <cell r="P122">
            <v>0</v>
          </cell>
          <cell r="Q122">
            <v>0</v>
          </cell>
        </row>
        <row r="123">
          <cell r="B123" t="str">
            <v>DCF Value at 2.0%-4.0% Perpetuity Range at 9.0% WACC</v>
          </cell>
          <cell r="C123">
            <v>0</v>
          </cell>
          <cell r="D123">
            <v>0</v>
          </cell>
          <cell r="E123">
            <v>0</v>
          </cell>
          <cell r="G123" t="str">
            <v>LTM EBITDA Purchase Multiple at 0.0x-0.0x Exit EBITDA Multiple at 9.0% WACC</v>
          </cell>
          <cell r="O123">
            <v>0</v>
          </cell>
          <cell r="P123">
            <v>0</v>
          </cell>
          <cell r="Q123">
            <v>0</v>
          </cell>
        </row>
        <row r="124">
          <cell r="B124" t="str">
            <v>52 Week Market High/Low</v>
          </cell>
          <cell r="C124">
            <v>169.5</v>
          </cell>
          <cell r="D124">
            <v>158.35000000000002</v>
          </cell>
          <cell r="E124">
            <v>327.85</v>
          </cell>
          <cell r="G124" t="str">
            <v>LTM EBITDA Purchase Multiple at 8.0%-10.0% WACC at 12.5x Exit EBITDA</v>
          </cell>
          <cell r="O124">
            <v>0</v>
          </cell>
          <cell r="P124">
            <v>0</v>
          </cell>
          <cell r="Q124">
            <v>0</v>
          </cell>
        </row>
      </sheetData>
      <sheetData sheetId="2">
        <row r="122">
          <cell r="B122" t="str">
            <v>DCF Value at 11.5x-13.5x Exit EBITDA Range at 9.0% WACC</v>
          </cell>
          <cell r="C122">
            <v>255.11212614708694</v>
          </cell>
          <cell r="D122">
            <v>30.754754148733241</v>
          </cell>
          <cell r="E122">
            <v>285.86688029582018</v>
          </cell>
          <cell r="G122" t="str">
            <v>LTM EBITDA Purchase Multiple at 2.0%-4.0% Perpetuity Growth at 9.0% WACC</v>
          </cell>
          <cell r="O122">
            <v>12.158600506522676</v>
          </cell>
          <cell r="P122">
            <v>3.8793603063571584</v>
          </cell>
          <cell r="Q122">
            <v>16.037960812879835</v>
          </cell>
        </row>
        <row r="123">
          <cell r="B123" t="str">
            <v>DCF Value at 2.0%-4.0% Perpetuity Range at 9.0% WACC</v>
          </cell>
          <cell r="C123">
            <v>243.66113413110557</v>
          </cell>
          <cell r="D123">
            <v>70.695623658731876</v>
          </cell>
          <cell r="E123">
            <v>314.35675778983745</v>
          </cell>
          <cell r="G123" t="str">
            <v>LTM EBITDA Purchase Multiple at 12.8x-14.5x Exit EBITDA Multiple at 9.0% WACC</v>
          </cell>
          <cell r="O123">
            <v>12.786963644100345</v>
          </cell>
          <cell r="P123">
            <v>1.6876401437846678</v>
          </cell>
          <cell r="Q123">
            <v>14.474603787885012</v>
          </cell>
        </row>
        <row r="124">
          <cell r="B124" t="str">
            <v>52 Week Market High/Low</v>
          </cell>
          <cell r="C124">
            <v>169.5</v>
          </cell>
          <cell r="D124">
            <v>158.35000000000002</v>
          </cell>
          <cell r="E124">
            <v>327.85</v>
          </cell>
          <cell r="G124" t="str">
            <v>LTM EBITDA Purchase Multiple at 8.0%-10.0% WACC at 12.5x Exit EBITDA</v>
          </cell>
          <cell r="O124">
            <v>13.122776360825991</v>
          </cell>
          <cell r="P124">
            <v>1.0418732444405041</v>
          </cell>
          <cell r="Q124">
            <v>14.164649605266495</v>
          </cell>
        </row>
      </sheetData>
      <sheetData sheetId="3"/>
      <sheetData sheetId="4"/>
      <sheetData sheetId="5"/>
      <sheetData sheetId="6"/>
      <sheetData sheetId="7">
        <row r="122">
          <cell r="B122" t="str">
            <v>DCF Value at 11.5x-13.5x Exit EBITDA Range at 9.0% WACC</v>
          </cell>
          <cell r="C122">
            <v>238.85124442574289</v>
          </cell>
          <cell r="D122">
            <v>28.794441923930492</v>
          </cell>
          <cell r="E122">
            <v>267.64568634967338</v>
          </cell>
          <cell r="G122" t="str">
            <v>LTM EBITDA Purchase Multiple at 2.0%-4.0% Perpetuity Growth at 9.0% WACC</v>
          </cell>
          <cell r="O122">
            <v>12.158600506522676</v>
          </cell>
          <cell r="P122">
            <v>3.8793603063571584</v>
          </cell>
          <cell r="Q122">
            <v>16.037960812879835</v>
          </cell>
        </row>
        <row r="123">
          <cell r="B123" t="str">
            <v>DCF Value at 2.0%-4.0% Perpetuity Range at 9.0% WACC</v>
          </cell>
          <cell r="C123">
            <v>228.13014020292965</v>
          </cell>
          <cell r="D123">
            <v>66.18947496288942</v>
          </cell>
          <cell r="E123">
            <v>294.31961516581907</v>
          </cell>
          <cell r="G123" t="str">
            <v>LTM EBITDA Purchase Multiple at 12.8x-14.5x Exit EBITDA Multiple at 9.0% WACC</v>
          </cell>
          <cell r="O123">
            <v>12.786963644100345</v>
          </cell>
          <cell r="P123">
            <v>1.6876401437846678</v>
          </cell>
          <cell r="Q123">
            <v>14.474603787885012</v>
          </cell>
        </row>
        <row r="124">
          <cell r="B124" t="str">
            <v>52 Week Market High/Low</v>
          </cell>
          <cell r="C124">
            <v>169.5</v>
          </cell>
          <cell r="D124">
            <v>158.35000000000002</v>
          </cell>
          <cell r="E124">
            <v>327.85</v>
          </cell>
          <cell r="G124" t="str">
            <v>LTM EBITDA Purchase Multiple at 8.0%-10.0% WACC at 12.5x Exit EBITDA</v>
          </cell>
          <cell r="O124">
            <v>13.122776360825991</v>
          </cell>
          <cell r="P124">
            <v>1.0418732444405041</v>
          </cell>
          <cell r="Q124">
            <v>14.164649605266495</v>
          </cell>
        </row>
      </sheetData>
      <sheetData sheetId="8"/>
      <sheetData sheetId="9">
        <row r="128">
          <cell r="B128" t="str">
            <v>DCF Value at 11.0x-15.0x Exit EBITDA Range at 9.0% WACC</v>
          </cell>
          <cell r="C128">
            <v>20.680633001583054</v>
          </cell>
          <cell r="D128">
            <v>0</v>
          </cell>
          <cell r="E128">
            <v>20.680633001583054</v>
          </cell>
          <cell r="G128" t="str">
            <v>LTM EBITDA Purchase Multiple at 2.0%-4.0% Perpetuity Growth at 9.0% WACC</v>
          </cell>
          <cell r="O128" t="e">
            <v>#DIV/0!</v>
          </cell>
          <cell r="P128" t="e">
            <v>#DIV/0!</v>
          </cell>
          <cell r="Q128" t="e">
            <v>#DIV/0!</v>
          </cell>
        </row>
        <row r="129">
          <cell r="B129" t="str">
            <v>DCF Value at 2.0%-4.0% Perpetuity Range at 9.0% WACC</v>
          </cell>
          <cell r="C129">
            <v>20.680633001583054</v>
          </cell>
          <cell r="D129">
            <v>0</v>
          </cell>
          <cell r="E129">
            <v>20.680633001583054</v>
          </cell>
          <cell r="G129" t="e">
            <v>#DIV/0!</v>
          </cell>
          <cell r="O129" t="e">
            <v>#DIV/0!</v>
          </cell>
          <cell r="P129" t="e">
            <v>#DIV/0!</v>
          </cell>
          <cell r="Q129" t="e">
            <v>#DIV/0!</v>
          </cell>
        </row>
        <row r="130">
          <cell r="B130" t="str">
            <v>52 Week Market High/Low</v>
          </cell>
          <cell r="C130">
            <v>169.5</v>
          </cell>
          <cell r="D130">
            <v>158.35000000000002</v>
          </cell>
          <cell r="E130">
            <v>327.85</v>
          </cell>
          <cell r="G130" t="str">
            <v>LTM EBITDA Purchase Multiple at 7.0%-11.0% WACC at 13.0x Exit EBITDA</v>
          </cell>
          <cell r="O130" t="e">
            <v>#DIV/0!</v>
          </cell>
          <cell r="P130" t="e">
            <v>#DIV/0!</v>
          </cell>
          <cell r="Q130" t="e">
            <v>#DIV/0!</v>
          </cell>
        </row>
      </sheetData>
      <sheetData sheetId="10">
        <row r="128">
          <cell r="B128" t="str">
            <v>DCF Value at 11.0x-15.0x Exit EBITDA Range at 9.0% WACC</v>
          </cell>
          <cell r="C128">
            <v>234.18244617024146</v>
          </cell>
          <cell r="D128">
            <v>59.053939159871163</v>
          </cell>
          <cell r="E128">
            <v>293.23638533011263</v>
          </cell>
          <cell r="G128" t="str">
            <v>LTM EBITDA Purchase Multiple at 2.0%-4.0% Perpetuity Growth at 9.0% WACC</v>
          </cell>
          <cell r="O128">
            <v>12.832501802687379</v>
          </cell>
          <cell r="P128">
            <v>4.144000549505126</v>
          </cell>
          <cell r="Q128">
            <v>16.976502352192504</v>
          </cell>
        </row>
        <row r="129">
          <cell r="B129" t="str">
            <v>DCF Value at 2.0%-4.0% Perpetuity Range at 9.0% WACC</v>
          </cell>
          <cell r="C129">
            <v>229.67451002601129</v>
          </cell>
          <cell r="D129">
            <v>67.490404797844263</v>
          </cell>
          <cell r="E129">
            <v>297.16491482385555</v>
          </cell>
          <cell r="G129" t="str">
            <v>LTM EBITDA Purchase Multiple at 13.1x-16.7x Exit EBITDA Multiple at 9.0% WACC</v>
          </cell>
          <cell r="O129">
            <v>13.109295073001569</v>
          </cell>
          <cell r="P129">
            <v>3.6259903472495552</v>
          </cell>
          <cell r="Q129">
            <v>16.735285420251124</v>
          </cell>
        </row>
        <row r="130">
          <cell r="B130" t="str">
            <v>52 Week Market High/Low</v>
          </cell>
          <cell r="C130">
            <v>169.5</v>
          </cell>
          <cell r="D130">
            <v>158.35000000000002</v>
          </cell>
          <cell r="E130">
            <v>327.85</v>
          </cell>
          <cell r="G130" t="str">
            <v>LTM EBITDA Purchase Multiple at 7.0%-11.0% WACC at 13.0x Exit EBITDA</v>
          </cell>
          <cell r="O130">
            <v>13.826590996388775</v>
          </cell>
          <cell r="P130">
            <v>2.3061658520416284</v>
          </cell>
          <cell r="Q130">
            <v>16.132756848430404</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4-13T14:28:48.013"/>
    </inkml:context>
    <inkml:brush xml:id="br0">
      <inkml:brushProperty name="width" value="0.05" units="cm"/>
      <inkml:brushProperty name="height" value="0.05" units="cm"/>
    </inkml:brush>
  </inkml:definitions>
  <inkml:trace contextRef="#ctx0" brushRef="#br0">4 41 4852,'1'-4'3528,"0"-13"-1279,-3 1-7071,-2 13 3607</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EDCC7-103C-4873-99E9-4E5635887211}">
  <dimension ref="B2:O147"/>
  <sheetViews>
    <sheetView showGridLines="0" tabSelected="1" view="pageBreakPreview" zoomScaleNormal="175" zoomScaleSheetLayoutView="100" workbookViewId="0">
      <pane ySplit="8" topLeftCell="A9" activePane="bottomLeft" state="frozen"/>
      <selection pane="bottomLeft" activeCell="A9" sqref="A9"/>
    </sheetView>
  </sheetViews>
  <sheetFormatPr defaultRowHeight="15" x14ac:dyDescent="0.25"/>
  <cols>
    <col min="1" max="1" width="3.7109375" customWidth="1"/>
    <col min="2" max="2" width="33" bestFit="1" customWidth="1"/>
    <col min="3" max="5" width="11.85546875" bestFit="1" customWidth="1"/>
    <col min="6" max="6" width="12.7109375" bestFit="1" customWidth="1"/>
    <col min="7" max="12" width="11.85546875" bestFit="1" customWidth="1"/>
  </cols>
  <sheetData>
    <row r="2" spans="2:15" x14ac:dyDescent="0.25">
      <c r="B2" s="375" t="s">
        <v>473</v>
      </c>
    </row>
    <row r="4" spans="2:15" ht="15.75" thickBot="1" x14ac:dyDescent="0.3"/>
    <row r="5" spans="2:15" ht="15.75" thickBot="1" x14ac:dyDescent="0.3">
      <c r="B5" s="39" t="s">
        <v>63</v>
      </c>
      <c r="C5" s="38" t="s">
        <v>60</v>
      </c>
      <c r="D5" s="37"/>
      <c r="O5" s="29" t="s">
        <v>64</v>
      </c>
    </row>
    <row r="6" spans="2:15" x14ac:dyDescent="0.25">
      <c r="O6" s="31" t="s">
        <v>60</v>
      </c>
    </row>
    <row r="7" spans="2:15" x14ac:dyDescent="0.25">
      <c r="B7" s="7"/>
      <c r="C7" s="8" t="s">
        <v>0</v>
      </c>
      <c r="D7" s="8"/>
      <c r="E7" s="8"/>
      <c r="F7" s="8"/>
      <c r="G7" s="9"/>
      <c r="H7" s="10" t="s">
        <v>1</v>
      </c>
      <c r="I7" s="8"/>
      <c r="J7" s="8"/>
      <c r="K7" s="8"/>
      <c r="L7" s="8"/>
      <c r="M7" s="358" t="s">
        <v>427</v>
      </c>
      <c r="O7" s="31" t="s">
        <v>61</v>
      </c>
    </row>
    <row r="8" spans="2:15" x14ac:dyDescent="0.25">
      <c r="B8" s="5"/>
      <c r="C8" s="3">
        <v>43465</v>
      </c>
      <c r="D8" s="4">
        <f>EOMONTH(C8,12)</f>
        <v>43830</v>
      </c>
      <c r="E8" s="4">
        <f t="shared" ref="E8:L8" si="0">EOMONTH(D8,12)</f>
        <v>44196</v>
      </c>
      <c r="F8" s="18" t="s">
        <v>69</v>
      </c>
      <c r="G8" s="4">
        <f>EOMONTH(E8,12)</f>
        <v>44561</v>
      </c>
      <c r="H8" s="4">
        <f>EOMONTH(G8,12)</f>
        <v>44926</v>
      </c>
      <c r="I8" s="4">
        <f t="shared" si="0"/>
        <v>45291</v>
      </c>
      <c r="J8" s="4">
        <f t="shared" si="0"/>
        <v>45657</v>
      </c>
      <c r="K8" s="4">
        <f t="shared" si="0"/>
        <v>46022</v>
      </c>
      <c r="L8" s="4">
        <f t="shared" si="0"/>
        <v>46387</v>
      </c>
      <c r="M8" s="359"/>
      <c r="O8" s="31" t="s">
        <v>62</v>
      </c>
    </row>
    <row r="9" spans="2:15" x14ac:dyDescent="0.25">
      <c r="B9" s="11" t="s">
        <v>2</v>
      </c>
      <c r="C9" s="46"/>
      <c r="D9" s="46"/>
      <c r="E9" s="46"/>
      <c r="F9" s="46"/>
      <c r="G9" s="16"/>
      <c r="H9" s="11"/>
      <c r="I9" s="11"/>
      <c r="J9" s="11"/>
      <c r="K9" s="11"/>
      <c r="L9" s="11"/>
      <c r="M9" s="359"/>
    </row>
    <row r="10" spans="2:15" x14ac:dyDescent="0.25">
      <c r="B10" t="s">
        <v>3</v>
      </c>
      <c r="C10" s="6">
        <f>C9-C11</f>
        <v>0</v>
      </c>
      <c r="D10" s="6">
        <f t="shared" ref="D10:F10" si="1">D9-D11</f>
        <v>0</v>
      </c>
      <c r="E10" s="6">
        <f t="shared" si="1"/>
        <v>0</v>
      </c>
      <c r="F10" s="20">
        <f t="shared" si="1"/>
        <v>0</v>
      </c>
      <c r="G10" s="6"/>
      <c r="H10" s="6"/>
      <c r="I10" s="6"/>
      <c r="J10" s="6"/>
      <c r="K10" s="6"/>
      <c r="L10" s="6"/>
      <c r="M10" s="359"/>
    </row>
    <row r="11" spans="2:15" x14ac:dyDescent="0.25">
      <c r="B11" s="11" t="s">
        <v>4</v>
      </c>
      <c r="C11" s="46">
        <v>0</v>
      </c>
      <c r="D11" s="46">
        <v>0</v>
      </c>
      <c r="E11" s="46">
        <v>0</v>
      </c>
      <c r="F11" s="46">
        <v>0</v>
      </c>
      <c r="G11" s="12"/>
      <c r="H11" s="11"/>
      <c r="I11" s="11"/>
      <c r="J11" s="11"/>
      <c r="K11" s="11"/>
      <c r="L11" s="11"/>
      <c r="M11" s="359"/>
    </row>
    <row r="12" spans="2:15" x14ac:dyDescent="0.25">
      <c r="B12" t="s">
        <v>5</v>
      </c>
      <c r="C12" s="6"/>
      <c r="D12" s="6"/>
      <c r="E12" s="6"/>
      <c r="F12" s="20"/>
      <c r="G12" s="6"/>
      <c r="H12" s="6"/>
      <c r="I12" s="6"/>
      <c r="J12" s="6"/>
      <c r="K12" s="6"/>
      <c r="L12" s="6"/>
      <c r="M12" s="359"/>
    </row>
    <row r="13" spans="2:15" x14ac:dyDescent="0.25">
      <c r="B13" s="11" t="s">
        <v>6</v>
      </c>
      <c r="C13" s="11"/>
      <c r="D13" s="11"/>
      <c r="E13" s="11"/>
      <c r="F13" s="19"/>
      <c r="G13" s="12"/>
      <c r="H13" s="11"/>
      <c r="I13" s="11"/>
      <c r="J13" s="11"/>
      <c r="K13" s="11"/>
      <c r="L13" s="11"/>
      <c r="M13" s="359"/>
    </row>
    <row r="14" spans="2:15" x14ac:dyDescent="0.25">
      <c r="B14" t="s">
        <v>7</v>
      </c>
      <c r="F14" s="21"/>
      <c r="G14" s="17"/>
      <c r="M14" s="359"/>
    </row>
    <row r="15" spans="2:15" x14ac:dyDescent="0.25">
      <c r="B15" t="s">
        <v>8</v>
      </c>
      <c r="F15" s="21"/>
      <c r="G15" s="17"/>
      <c r="M15" s="359"/>
    </row>
    <row r="16" spans="2:15" x14ac:dyDescent="0.25">
      <c r="B16" t="s">
        <v>9</v>
      </c>
      <c r="F16" s="21"/>
      <c r="G16" s="17"/>
      <c r="M16" s="359"/>
    </row>
    <row r="17" spans="2:13" x14ac:dyDescent="0.25">
      <c r="B17" t="s">
        <v>10</v>
      </c>
      <c r="F17" s="21"/>
      <c r="G17" s="17"/>
      <c r="M17" s="359"/>
    </row>
    <row r="18" spans="2:13" x14ac:dyDescent="0.25">
      <c r="B18" t="s">
        <v>11</v>
      </c>
      <c r="C18" s="6"/>
      <c r="D18" s="6"/>
      <c r="E18" s="6"/>
      <c r="F18" s="20"/>
      <c r="G18" s="6"/>
      <c r="H18" s="6"/>
      <c r="I18" s="6"/>
      <c r="J18" s="6"/>
      <c r="K18" s="6"/>
      <c r="L18" s="6"/>
      <c r="M18" s="359"/>
    </row>
    <row r="19" spans="2:13" x14ac:dyDescent="0.25">
      <c r="B19" t="s">
        <v>12</v>
      </c>
      <c r="F19" s="21"/>
      <c r="G19" s="17"/>
      <c r="M19" s="359"/>
    </row>
    <row r="20" spans="2:13" x14ac:dyDescent="0.25">
      <c r="B20" s="11" t="s">
        <v>13</v>
      </c>
      <c r="C20" s="11"/>
      <c r="D20" s="11"/>
      <c r="E20" s="11"/>
      <c r="F20" s="19"/>
      <c r="G20" s="16"/>
      <c r="H20" s="11"/>
      <c r="I20" s="11"/>
      <c r="J20" s="11"/>
      <c r="K20" s="11"/>
      <c r="L20" s="11"/>
      <c r="M20" s="359"/>
    </row>
    <row r="21" spans="2:13" x14ac:dyDescent="0.25">
      <c r="B21" t="s">
        <v>15</v>
      </c>
      <c r="F21" s="21"/>
      <c r="G21" s="17"/>
      <c r="M21" s="359"/>
    </row>
    <row r="22" spans="2:13" x14ac:dyDescent="0.25">
      <c r="B22" t="s">
        <v>20</v>
      </c>
      <c r="F22" s="21"/>
      <c r="G22" s="17"/>
      <c r="M22" s="359"/>
    </row>
    <row r="23" spans="2:13" x14ac:dyDescent="0.25">
      <c r="B23" t="s">
        <v>19</v>
      </c>
      <c r="F23" s="21"/>
      <c r="G23" s="17"/>
      <c r="M23" s="359"/>
    </row>
    <row r="24" spans="2:13" x14ac:dyDescent="0.25">
      <c r="B24" t="s">
        <v>16</v>
      </c>
      <c r="F24" s="21"/>
      <c r="G24" s="17"/>
      <c r="M24" s="359"/>
    </row>
    <row r="25" spans="2:13" x14ac:dyDescent="0.25">
      <c r="B25" t="s">
        <v>17</v>
      </c>
      <c r="F25" s="21"/>
      <c r="G25" s="17"/>
      <c r="M25" s="359"/>
    </row>
    <row r="26" spans="2:13" x14ac:dyDescent="0.25">
      <c r="B26" t="s">
        <v>18</v>
      </c>
      <c r="F26" s="21"/>
      <c r="G26" s="17"/>
      <c r="M26" s="359"/>
    </row>
    <row r="27" spans="2:13" x14ac:dyDescent="0.25">
      <c r="B27" t="s">
        <v>14</v>
      </c>
      <c r="F27" s="21"/>
      <c r="G27" s="17"/>
      <c r="M27" s="359"/>
    </row>
    <row r="28" spans="2:13" x14ac:dyDescent="0.25">
      <c r="B28" t="s">
        <v>21</v>
      </c>
      <c r="F28" s="21"/>
      <c r="G28" s="17"/>
      <c r="M28" s="359"/>
    </row>
    <row r="29" spans="2:13" x14ac:dyDescent="0.25">
      <c r="B29" s="12" t="s">
        <v>22</v>
      </c>
      <c r="C29" s="12"/>
      <c r="D29" s="12"/>
      <c r="E29" s="12"/>
      <c r="F29" s="22"/>
      <c r="G29" s="12"/>
      <c r="H29" s="12"/>
      <c r="I29" s="12"/>
      <c r="J29" s="12"/>
      <c r="K29" s="12"/>
      <c r="L29" s="12"/>
      <c r="M29" s="359"/>
    </row>
    <row r="30" spans="2:13" x14ac:dyDescent="0.25">
      <c r="B30" t="s">
        <v>23</v>
      </c>
      <c r="F30" s="21"/>
      <c r="G30" s="17"/>
      <c r="M30" s="359"/>
    </row>
    <row r="31" spans="2:13" x14ac:dyDescent="0.25">
      <c r="B31" t="s">
        <v>24</v>
      </c>
      <c r="F31" s="21"/>
      <c r="G31" s="17"/>
      <c r="M31" s="359"/>
    </row>
    <row r="32" spans="2:13" x14ac:dyDescent="0.25">
      <c r="B32" s="12" t="s">
        <v>25</v>
      </c>
      <c r="C32" s="12"/>
      <c r="D32" s="12"/>
      <c r="E32" s="12"/>
      <c r="F32" s="22"/>
      <c r="G32" s="12"/>
      <c r="H32" s="12"/>
      <c r="I32" s="12"/>
      <c r="J32" s="12"/>
      <c r="K32" s="12"/>
      <c r="L32" s="12"/>
      <c r="M32" s="359"/>
    </row>
    <row r="33" spans="2:13" x14ac:dyDescent="0.25">
      <c r="F33" s="21"/>
      <c r="G33" s="17"/>
      <c r="M33" s="359"/>
    </row>
    <row r="34" spans="2:13" x14ac:dyDescent="0.25">
      <c r="B34" s="13" t="s">
        <v>26</v>
      </c>
      <c r="C34" s="13"/>
      <c r="D34" s="13"/>
      <c r="E34" s="13"/>
      <c r="F34" s="23"/>
      <c r="G34" s="13"/>
      <c r="H34" s="13"/>
      <c r="I34" s="13"/>
      <c r="J34" s="13"/>
      <c r="K34" s="13"/>
      <c r="L34" s="13"/>
      <c r="M34" s="359"/>
    </row>
    <row r="35" spans="2:13" x14ac:dyDescent="0.25">
      <c r="B35" t="s">
        <v>27</v>
      </c>
      <c r="F35" s="21"/>
      <c r="G35" s="17"/>
      <c r="M35" s="359"/>
    </row>
    <row r="36" spans="2:13" x14ac:dyDescent="0.25">
      <c r="B36" s="14" t="s">
        <v>28</v>
      </c>
      <c r="F36" s="21"/>
      <c r="G36" s="17"/>
      <c r="M36" s="359"/>
    </row>
    <row r="37" spans="2:13" x14ac:dyDescent="0.25">
      <c r="B37" s="14" t="s">
        <v>29</v>
      </c>
      <c r="F37" s="21"/>
      <c r="G37" s="17"/>
      <c r="M37" s="359"/>
    </row>
    <row r="38" spans="2:13" x14ac:dyDescent="0.25">
      <c r="B38" s="14" t="s">
        <v>30</v>
      </c>
      <c r="F38" s="21"/>
      <c r="G38" s="17"/>
      <c r="M38" s="359"/>
    </row>
    <row r="39" spans="2:13" x14ac:dyDescent="0.25">
      <c r="B39" s="15" t="s">
        <v>31</v>
      </c>
      <c r="C39" s="12"/>
      <c r="D39" s="12"/>
      <c r="E39" s="12"/>
      <c r="F39" s="22"/>
      <c r="G39" s="12"/>
      <c r="H39" s="12"/>
      <c r="I39" s="12"/>
      <c r="J39" s="12"/>
      <c r="K39" s="12"/>
      <c r="L39" s="12"/>
      <c r="M39" s="359"/>
    </row>
    <row r="40" spans="2:13" x14ac:dyDescent="0.25">
      <c r="B40" s="14" t="s">
        <v>34</v>
      </c>
      <c r="F40" s="21"/>
      <c r="G40" s="17"/>
      <c r="M40" s="359"/>
    </row>
    <row r="41" spans="2:13" x14ac:dyDescent="0.25">
      <c r="B41" s="15" t="s">
        <v>35</v>
      </c>
      <c r="C41" s="12"/>
      <c r="D41" s="12"/>
      <c r="E41" s="12"/>
      <c r="F41" s="40"/>
      <c r="G41" s="12"/>
      <c r="H41" s="12"/>
      <c r="I41" s="12"/>
      <c r="J41" s="12"/>
      <c r="K41" s="12"/>
      <c r="L41" s="12"/>
      <c r="M41" s="359"/>
    </row>
    <row r="42" spans="2:13" x14ac:dyDescent="0.25">
      <c r="B42" s="14"/>
      <c r="F42" s="17"/>
      <c r="G42" s="17"/>
      <c r="M42" s="360"/>
    </row>
    <row r="43" spans="2:13" x14ac:dyDescent="0.25">
      <c r="B43" s="13" t="s">
        <v>33</v>
      </c>
      <c r="C43" s="6"/>
      <c r="D43" s="6"/>
      <c r="E43" s="6"/>
      <c r="F43" s="6"/>
      <c r="G43" s="6"/>
      <c r="H43" s="6"/>
      <c r="I43" s="6"/>
      <c r="J43" s="6"/>
      <c r="K43" s="6"/>
      <c r="L43" s="6"/>
    </row>
    <row r="44" spans="2:13" x14ac:dyDescent="0.25">
      <c r="B44" s="14" t="s">
        <v>66</v>
      </c>
      <c r="F44" t="str">
        <f>IFERROR(F39/F20,"")</f>
        <v/>
      </c>
      <c r="H44" t="str">
        <f t="shared" ref="H44:L44" si="2">IFERROR(H39/H20,"")</f>
        <v/>
      </c>
      <c r="I44" t="str">
        <f t="shared" si="2"/>
        <v/>
      </c>
      <c r="J44" t="str">
        <f t="shared" si="2"/>
        <v/>
      </c>
      <c r="K44" t="str">
        <f t="shared" si="2"/>
        <v/>
      </c>
      <c r="L44" t="str">
        <f t="shared" si="2"/>
        <v/>
      </c>
    </row>
    <row r="45" spans="2:13" x14ac:dyDescent="0.25">
      <c r="B45" s="14" t="s">
        <v>67</v>
      </c>
      <c r="F45" t="str">
        <f>IFERROR(F41/F20,"")</f>
        <v/>
      </c>
      <c r="H45" t="str">
        <f t="shared" ref="H45:L45" si="3">IFERROR(H41/H20,"")</f>
        <v/>
      </c>
      <c r="I45" t="str">
        <f t="shared" si="3"/>
        <v/>
      </c>
      <c r="J45" t="str">
        <f t="shared" si="3"/>
        <v/>
      </c>
      <c r="K45" t="str">
        <f t="shared" si="3"/>
        <v/>
      </c>
      <c r="L45" t="str">
        <f t="shared" si="3"/>
        <v/>
      </c>
    </row>
    <row r="46" spans="2:13" x14ac:dyDescent="0.25">
      <c r="B46" s="14" t="s">
        <v>68</v>
      </c>
      <c r="F46" t="str">
        <f>IFERROR(F20/F23,"")</f>
        <v/>
      </c>
      <c r="H46" t="str">
        <f t="shared" ref="H46:L46" si="4">IFERROR(H20/H23,"")</f>
        <v/>
      </c>
      <c r="I46" t="str">
        <f t="shared" si="4"/>
        <v/>
      </c>
      <c r="J46" t="str">
        <f t="shared" si="4"/>
        <v/>
      </c>
      <c r="K46" t="str">
        <f t="shared" si="4"/>
        <v/>
      </c>
      <c r="L46" t="str">
        <f t="shared" si="4"/>
        <v/>
      </c>
    </row>
    <row r="47" spans="2:13" x14ac:dyDescent="0.25">
      <c r="B47" s="14" t="s">
        <v>36</v>
      </c>
      <c r="F47" t="str">
        <f>IFERROR((F20-F24-F26)/(F23+F30),"")</f>
        <v/>
      </c>
      <c r="H47" t="str">
        <f t="shared" ref="H47:L47" si="5">IFERROR((H20-H24-H26)/(H23+H30),"")</f>
        <v/>
      </c>
      <c r="I47" t="str">
        <f t="shared" si="5"/>
        <v/>
      </c>
      <c r="J47" t="str">
        <f t="shared" si="5"/>
        <v/>
      </c>
      <c r="K47" t="str">
        <f t="shared" si="5"/>
        <v/>
      </c>
      <c r="L47" t="str">
        <f t="shared" si="5"/>
        <v/>
      </c>
    </row>
    <row r="48" spans="2:13" x14ac:dyDescent="0.25">
      <c r="B48" s="14" t="s">
        <v>37</v>
      </c>
      <c r="F48" t="str">
        <f>IFERROR(F29/F39,"")</f>
        <v/>
      </c>
      <c r="H48" t="str">
        <f t="shared" ref="H48:L48" si="6">IFERROR(H29/H39,"")</f>
        <v/>
      </c>
      <c r="I48" t="str">
        <f t="shared" si="6"/>
        <v/>
      </c>
      <c r="J48" t="str">
        <f t="shared" si="6"/>
        <v/>
      </c>
      <c r="K48" t="str">
        <f t="shared" si="6"/>
        <v/>
      </c>
      <c r="L48" t="str">
        <f t="shared" si="6"/>
        <v/>
      </c>
    </row>
    <row r="49" spans="2:12" x14ac:dyDescent="0.25">
      <c r="B49" s="14" t="s">
        <v>38</v>
      </c>
      <c r="F49" t="str">
        <f>IFERROR(F32/F39,"")</f>
        <v/>
      </c>
      <c r="H49" t="str">
        <f t="shared" ref="H49:L49" si="7">IFERROR(H32/H39,"")</f>
        <v/>
      </c>
      <c r="I49" t="str">
        <f>IFERROR(I32/I39,"")</f>
        <v/>
      </c>
      <c r="J49" t="str">
        <f t="shared" si="7"/>
        <v/>
      </c>
      <c r="K49" t="str">
        <f t="shared" si="7"/>
        <v/>
      </c>
      <c r="L49" t="str">
        <f t="shared" si="7"/>
        <v/>
      </c>
    </row>
    <row r="50" spans="2:12" x14ac:dyDescent="0.25">
      <c r="B50" s="14"/>
    </row>
    <row r="51" spans="2:12" x14ac:dyDescent="0.25">
      <c r="B51" s="13" t="s">
        <v>39</v>
      </c>
      <c r="C51" s="6"/>
      <c r="D51" s="6"/>
      <c r="E51" s="6"/>
      <c r="F51" s="6"/>
      <c r="G51" s="6"/>
      <c r="H51" s="6"/>
      <c r="I51" s="6"/>
      <c r="J51" s="6"/>
      <c r="K51" s="6"/>
      <c r="L51" s="6"/>
    </row>
    <row r="52" spans="2:12" x14ac:dyDescent="0.25">
      <c r="B52" t="s">
        <v>40</v>
      </c>
    </row>
    <row r="53" spans="2:12" x14ac:dyDescent="0.25">
      <c r="B53" t="s">
        <v>41</v>
      </c>
    </row>
    <row r="54" spans="2:12" x14ac:dyDescent="0.25">
      <c r="B54" t="s">
        <v>42</v>
      </c>
    </row>
    <row r="55" spans="2:12" x14ac:dyDescent="0.25">
      <c r="B55" t="s">
        <v>43</v>
      </c>
    </row>
    <row r="56" spans="2:12" x14ac:dyDescent="0.25">
      <c r="B56" t="s">
        <v>44</v>
      </c>
    </row>
    <row r="57" spans="2:12" x14ac:dyDescent="0.25">
      <c r="B57" t="s">
        <v>45</v>
      </c>
    </row>
    <row r="58" spans="2:12" x14ac:dyDescent="0.25">
      <c r="B58" t="s">
        <v>46</v>
      </c>
    </row>
    <row r="60" spans="2:12" x14ac:dyDescent="0.25">
      <c r="B60" s="13" t="s">
        <v>47</v>
      </c>
      <c r="C60" s="13"/>
      <c r="D60" s="13"/>
      <c r="E60" s="13"/>
      <c r="F60" s="13"/>
      <c r="G60" s="13"/>
      <c r="H60" s="13"/>
      <c r="I60" s="13"/>
      <c r="J60" s="13"/>
      <c r="K60" s="13"/>
      <c r="L60" s="13"/>
    </row>
    <row r="61" spans="2:12" x14ac:dyDescent="0.25">
      <c r="B61" s="26" t="s">
        <v>48</v>
      </c>
      <c r="C61" s="27"/>
      <c r="D61" s="27"/>
      <c r="E61" s="27"/>
      <c r="F61" s="27"/>
      <c r="G61" s="27"/>
      <c r="H61" s="27"/>
      <c r="I61" s="27"/>
      <c r="J61" s="27"/>
      <c r="K61" s="27"/>
      <c r="L61" s="27"/>
    </row>
    <row r="62" spans="2:12" x14ac:dyDescent="0.25">
      <c r="B62" t="s">
        <v>49</v>
      </c>
    </row>
    <row r="63" spans="2:12" x14ac:dyDescent="0.25">
      <c r="B63" t="s">
        <v>50</v>
      </c>
    </row>
    <row r="64" spans="2:12" x14ac:dyDescent="0.25">
      <c r="B64" t="s">
        <v>51</v>
      </c>
    </row>
    <row r="65" spans="2:2" x14ac:dyDescent="0.25">
      <c r="B65" t="s">
        <v>52</v>
      </c>
    </row>
    <row r="67" spans="2:2" x14ac:dyDescent="0.25">
      <c r="B67" t="s">
        <v>53</v>
      </c>
    </row>
    <row r="68" spans="2:2" x14ac:dyDescent="0.25">
      <c r="B68" t="s">
        <v>54</v>
      </c>
    </row>
    <row r="69" spans="2:2" x14ac:dyDescent="0.25">
      <c r="B69" t="s">
        <v>55</v>
      </c>
    </row>
    <row r="71" spans="2:2" x14ac:dyDescent="0.25">
      <c r="B71" t="s">
        <v>19</v>
      </c>
    </row>
    <row r="73" spans="2:2" x14ac:dyDescent="0.25">
      <c r="B73" s="28" t="s">
        <v>56</v>
      </c>
    </row>
    <row r="74" spans="2:2" x14ac:dyDescent="0.25">
      <c r="B74" t="s">
        <v>49</v>
      </c>
    </row>
    <row r="75" spans="2:2" x14ac:dyDescent="0.25">
      <c r="B75" t="s">
        <v>51</v>
      </c>
    </row>
    <row r="76" spans="2:2" x14ac:dyDescent="0.25">
      <c r="B76" t="s">
        <v>52</v>
      </c>
    </row>
    <row r="78" spans="2:2" x14ac:dyDescent="0.25">
      <c r="B78" t="s">
        <v>53</v>
      </c>
    </row>
    <row r="79" spans="2:2" x14ac:dyDescent="0.25">
      <c r="B79" t="s">
        <v>54</v>
      </c>
    </row>
    <row r="80" spans="2:2" x14ac:dyDescent="0.25">
      <c r="B80" t="s">
        <v>55</v>
      </c>
    </row>
    <row r="82" spans="2:12" x14ac:dyDescent="0.25">
      <c r="B82" t="s">
        <v>19</v>
      </c>
    </row>
    <row r="83" spans="2:12" x14ac:dyDescent="0.25">
      <c r="B83" t="s">
        <v>57</v>
      </c>
    </row>
    <row r="85" spans="2:12" x14ac:dyDescent="0.25">
      <c r="B85" t="s">
        <v>24</v>
      </c>
    </row>
    <row r="87" spans="2:12" x14ac:dyDescent="0.25">
      <c r="B87" s="13" t="s">
        <v>58</v>
      </c>
      <c r="C87" s="6"/>
      <c r="D87" s="6"/>
      <c r="E87" s="6"/>
      <c r="F87" s="6"/>
      <c r="G87" s="6"/>
      <c r="H87" s="6"/>
      <c r="I87" s="6"/>
      <c r="J87" s="6"/>
      <c r="K87" s="6"/>
      <c r="L87" s="6"/>
    </row>
    <row r="88" spans="2:12" x14ac:dyDescent="0.25">
      <c r="B88" s="25"/>
      <c r="C88" s="5"/>
      <c r="D88" s="5"/>
      <c r="E88" s="5"/>
      <c r="F88" s="5"/>
      <c r="G88" s="4">
        <f t="shared" ref="G88:H88" si="8">G8</f>
        <v>44561</v>
      </c>
      <c r="H88" s="4">
        <f>H8</f>
        <v>44926</v>
      </c>
      <c r="I88" s="4">
        <f t="shared" ref="I88:L88" si="9">I8</f>
        <v>45291</v>
      </c>
      <c r="J88" s="4">
        <f t="shared" si="9"/>
        <v>45657</v>
      </c>
      <c r="K88" s="4">
        <f t="shared" si="9"/>
        <v>46022</v>
      </c>
      <c r="L88" s="4">
        <f t="shared" si="9"/>
        <v>46387</v>
      </c>
    </row>
    <row r="89" spans="2:12" x14ac:dyDescent="0.25">
      <c r="B89" s="34" t="str">
        <f>"Scenario: " &amp; C5</f>
        <v>Scenario: Management Case</v>
      </c>
      <c r="C89" s="17"/>
      <c r="D89" s="17"/>
      <c r="E89" s="17"/>
      <c r="F89" s="17"/>
      <c r="G89" s="33"/>
      <c r="H89" s="33"/>
      <c r="I89" s="33"/>
      <c r="J89" s="33"/>
      <c r="K89" s="33"/>
      <c r="L89" s="33"/>
    </row>
    <row r="90" spans="2:12" x14ac:dyDescent="0.25">
      <c r="B90" t="s">
        <v>40</v>
      </c>
      <c r="G90" s="35">
        <f t="shared" ref="G90:H90" ca="1" si="10">OFFSET(G$95,MATCH($C$5,$B$96:$B$98,0)+MATCH($B90,$B$95:$B$113,0)-1,0)</f>
        <v>0.05</v>
      </c>
      <c r="H90" s="35">
        <f ca="1">OFFSET(H$95,MATCH($C$5,$B$96:$B$98,0)+MATCH($B90,$B$95:$B$113,0)-1,0)</f>
        <v>0.05</v>
      </c>
      <c r="I90" s="35">
        <f ca="1">OFFSET(I$95,MATCH($C$5,$B$96:$B$98,0)+MATCH($B90,$B$95:$B$113,0)-1,0)</f>
        <v>0.05</v>
      </c>
      <c r="J90" s="35">
        <f ca="1">OFFSET(J$95,MATCH($C$5,$B$96:$B$98,0)+MATCH($B90,$B$95:$B$113,0)-1,0)</f>
        <v>0.05</v>
      </c>
      <c r="K90" s="35">
        <f ca="1">OFFSET(K$95,MATCH($C$5,$B$96:$B$98,0)+MATCH($B90,$B$95:$B$113,0)-1,0)</f>
        <v>0.05</v>
      </c>
      <c r="L90" s="35">
        <f ca="1">OFFSET(L$95,MATCH($C$5,$B$96:$B$98,0)+MATCH($B90,$B$95:$B$113,0)-1,0)</f>
        <v>0.05</v>
      </c>
    </row>
    <row r="91" spans="2:12" x14ac:dyDescent="0.25">
      <c r="B91" t="s">
        <v>44</v>
      </c>
      <c r="G91" s="35">
        <f ca="1">OFFSET(G$95,MATCH($C$5,$B$96:$B$98,0)+MATCH($B91,$B$95:$B$113,0)-1,0)</f>
        <v>0.65</v>
      </c>
      <c r="H91" s="35">
        <f ca="1">OFFSET(H$95,MATCH($C$5,$B$96:$B$98,0)+MATCH($B91,$B$95:$B$113,0)-1,0)</f>
        <v>0.65</v>
      </c>
      <c r="I91" s="35">
        <f ca="1">OFFSET(I$95,MATCH($C$5,$B$96:$B$98,0)+MATCH($B91,$B$95:$B$113,0)-1,0)</f>
        <v>0.65</v>
      </c>
      <c r="J91" s="35">
        <f ca="1">OFFSET(J$95,MATCH($C$5,$B$96:$B$98,0)+MATCH($B91,$B$95:$B$113,0)-1,0)</f>
        <v>0.65</v>
      </c>
      <c r="K91" s="35">
        <f ca="1">OFFSET(K$95,MATCH($C$5,$B$96:$B$98,0)+MATCH($B91,$B$95:$B$113,0)-1,0)</f>
        <v>0.65</v>
      </c>
      <c r="L91" s="35">
        <f ca="1">OFFSET(L$95,MATCH($C$5,$B$96:$B$98,0)+MATCH($B91,$B$95:$B$113,0)-1,0)</f>
        <v>0.65</v>
      </c>
    </row>
    <row r="92" spans="2:12" x14ac:dyDescent="0.25">
      <c r="B92" t="s">
        <v>59</v>
      </c>
      <c r="G92" s="35">
        <f ca="1">OFFSET(G$95,MATCH($C$5,$B$96:$B$98,0)+MATCH($B92,$B$95:$B$113,0)-1,0)</f>
        <v>0.2</v>
      </c>
      <c r="H92" s="35">
        <f ca="1">OFFSET(H$95,MATCH($C$5,$B$96:$B$98,0)+MATCH($B92,$B$95:$B$113,0)-1,0)</f>
        <v>0.2</v>
      </c>
      <c r="I92" s="35">
        <f ca="1">OFFSET(I$95,MATCH($C$5,$B$96:$B$98,0)+MATCH($B92,$B$95:$B$113,0)-1,0)</f>
        <v>0.2</v>
      </c>
      <c r="J92" s="35">
        <f ca="1">OFFSET(J$95,MATCH($C$5,$B$96:$B$98,0)+MATCH($B92,$B$95:$B$113,0)-1,0)</f>
        <v>0.2</v>
      </c>
      <c r="K92" s="35">
        <f ca="1">OFFSET(K$95,MATCH($C$5,$B$96:$B$98,0)+MATCH($B92,$B$95:$B$113,0)-1,0)</f>
        <v>0.2</v>
      </c>
      <c r="L92" s="35">
        <f ca="1">OFFSET(L$95,MATCH($C$5,$B$96:$B$98,0)+MATCH($B92,$B$95:$B$113,0)-1,0)</f>
        <v>0.2</v>
      </c>
    </row>
    <row r="93" spans="2:12" x14ac:dyDescent="0.25">
      <c r="B93" t="s">
        <v>65</v>
      </c>
      <c r="G93" s="35">
        <f ca="1">OFFSET(G$95,MATCH($C$5,$B$96:$B$98,0)+MATCH($B93,$B$95:$B$113,0)-1,0)</f>
        <v>0.01</v>
      </c>
      <c r="H93" s="35">
        <f ca="1">OFFSET(H$95,MATCH($C$5,$B$96:$B$98,0)+MATCH($B93,$B$95:$B$113,0)-1,0)</f>
        <v>0.01</v>
      </c>
      <c r="I93" s="35">
        <f ca="1">OFFSET(I$95,MATCH($C$5,$B$96:$B$98,0)+MATCH($B93,$B$95:$B$113,0)-1,0)</f>
        <v>0.01</v>
      </c>
      <c r="J93" s="35">
        <f ca="1">OFFSET(J$95,MATCH($C$5,$B$96:$B$98,0)+MATCH($B93,$B$95:$B$113,0)-1,0)</f>
        <v>0.01</v>
      </c>
      <c r="K93" s="35">
        <f ca="1">OFFSET(K$95,MATCH($C$5,$B$96:$B$98,0)+MATCH($B93,$B$95:$B$113,0)-1,0)</f>
        <v>0.01</v>
      </c>
      <c r="L93" s="35">
        <f ca="1">OFFSET(L$95,MATCH($C$5,$B$96:$B$98,0)+MATCH($B93,$B$95:$B$113,0)-1,0)</f>
        <v>0.01</v>
      </c>
    </row>
    <row r="95" spans="2:12" x14ac:dyDescent="0.25">
      <c r="B95" s="32" t="s">
        <v>40</v>
      </c>
    </row>
    <row r="96" spans="2:12" x14ac:dyDescent="0.25">
      <c r="B96" t="s">
        <v>60</v>
      </c>
      <c r="G96" s="45">
        <v>0.05</v>
      </c>
      <c r="H96" s="45">
        <v>0.05</v>
      </c>
      <c r="I96" s="45">
        <v>0.05</v>
      </c>
      <c r="J96" s="45">
        <v>0.05</v>
      </c>
      <c r="K96" s="45">
        <v>0.05</v>
      </c>
      <c r="L96" s="45">
        <v>0.05</v>
      </c>
    </row>
    <row r="97" spans="2:12" x14ac:dyDescent="0.25">
      <c r="B97" t="s">
        <v>61</v>
      </c>
      <c r="G97" s="45">
        <v>0.1</v>
      </c>
      <c r="H97" s="45">
        <v>0.1</v>
      </c>
      <c r="I97" s="45">
        <v>0.1</v>
      </c>
      <c r="J97" s="45">
        <v>0.1</v>
      </c>
      <c r="K97" s="45">
        <v>0.1</v>
      </c>
      <c r="L97" s="45">
        <v>0.1</v>
      </c>
    </row>
    <row r="98" spans="2:12" x14ac:dyDescent="0.25">
      <c r="B98" t="s">
        <v>62</v>
      </c>
      <c r="G98" s="45">
        <v>0.15</v>
      </c>
      <c r="H98" s="45">
        <v>0.15</v>
      </c>
      <c r="I98" s="45">
        <v>0.15</v>
      </c>
      <c r="J98" s="45">
        <v>0.15</v>
      </c>
      <c r="K98" s="45">
        <v>0.15</v>
      </c>
      <c r="L98" s="45">
        <v>0.15</v>
      </c>
    </row>
    <row r="99" spans="2:12" x14ac:dyDescent="0.25">
      <c r="G99" s="36"/>
      <c r="H99" s="36"/>
      <c r="I99" s="36"/>
      <c r="J99" s="36"/>
      <c r="K99" s="36"/>
      <c r="L99" s="36"/>
    </row>
    <row r="100" spans="2:12" x14ac:dyDescent="0.25">
      <c r="B100" s="32" t="s">
        <v>44</v>
      </c>
      <c r="G100" s="36"/>
      <c r="H100" s="36"/>
      <c r="I100" s="36"/>
      <c r="J100" s="36"/>
      <c r="K100" s="36"/>
      <c r="L100" s="36"/>
    </row>
    <row r="101" spans="2:12" x14ac:dyDescent="0.25">
      <c r="B101" t="s">
        <v>60</v>
      </c>
      <c r="G101" s="45">
        <v>0.65</v>
      </c>
      <c r="H101" s="45">
        <v>0.65</v>
      </c>
      <c r="I101" s="45">
        <v>0.65</v>
      </c>
      <c r="J101" s="45">
        <v>0.65</v>
      </c>
      <c r="K101" s="45">
        <v>0.65</v>
      </c>
      <c r="L101" s="45">
        <v>0.65</v>
      </c>
    </row>
    <row r="102" spans="2:12" x14ac:dyDescent="0.25">
      <c r="B102" t="s">
        <v>61</v>
      </c>
      <c r="G102" s="45">
        <v>0.7</v>
      </c>
      <c r="H102" s="45">
        <v>0.7</v>
      </c>
      <c r="I102" s="45">
        <v>0.7</v>
      </c>
      <c r="J102" s="45">
        <v>0.7</v>
      </c>
      <c r="K102" s="45">
        <v>0.7</v>
      </c>
      <c r="L102" s="45">
        <v>0.7</v>
      </c>
    </row>
    <row r="103" spans="2:12" x14ac:dyDescent="0.25">
      <c r="B103" t="s">
        <v>62</v>
      </c>
      <c r="G103" s="45">
        <v>0.75</v>
      </c>
      <c r="H103" s="45">
        <v>0.75</v>
      </c>
      <c r="I103" s="45">
        <v>0.75</v>
      </c>
      <c r="J103" s="45">
        <v>0.75</v>
      </c>
      <c r="K103" s="45">
        <v>0.75</v>
      </c>
      <c r="L103" s="45">
        <v>0.75</v>
      </c>
    </row>
    <row r="104" spans="2:12" x14ac:dyDescent="0.25">
      <c r="B104" s="32"/>
      <c r="G104" s="36"/>
      <c r="H104" s="36"/>
      <c r="I104" s="36"/>
      <c r="J104" s="36"/>
      <c r="K104" s="36"/>
      <c r="L104" s="36"/>
    </row>
    <row r="105" spans="2:12" x14ac:dyDescent="0.25">
      <c r="B105" s="32" t="s">
        <v>59</v>
      </c>
      <c r="G105" s="36"/>
      <c r="H105" s="36"/>
      <c r="I105" s="36"/>
      <c r="J105" s="36"/>
      <c r="K105" s="36"/>
      <c r="L105" s="36"/>
    </row>
    <row r="106" spans="2:12" x14ac:dyDescent="0.25">
      <c r="B106" t="s">
        <v>60</v>
      </c>
      <c r="G106" s="45">
        <v>0.2</v>
      </c>
      <c r="H106" s="45">
        <v>0.2</v>
      </c>
      <c r="I106" s="45">
        <v>0.2</v>
      </c>
      <c r="J106" s="45">
        <v>0.2</v>
      </c>
      <c r="K106" s="45">
        <v>0.2</v>
      </c>
      <c r="L106" s="45">
        <v>0.2</v>
      </c>
    </row>
    <row r="107" spans="2:12" x14ac:dyDescent="0.25">
      <c r="B107" t="s">
        <v>61</v>
      </c>
      <c r="G107" s="45">
        <v>0.2</v>
      </c>
      <c r="H107" s="45">
        <v>0.2</v>
      </c>
      <c r="I107" s="45">
        <v>0.2</v>
      </c>
      <c r="J107" s="45">
        <v>0.2</v>
      </c>
      <c r="K107" s="45">
        <v>0.2</v>
      </c>
      <c r="L107" s="45">
        <v>0.2</v>
      </c>
    </row>
    <row r="108" spans="2:12" x14ac:dyDescent="0.25">
      <c r="B108" t="s">
        <v>62</v>
      </c>
      <c r="G108" s="45">
        <v>0.2</v>
      </c>
      <c r="H108" s="45">
        <v>0.2</v>
      </c>
      <c r="I108" s="45">
        <v>0.2</v>
      </c>
      <c r="J108" s="45">
        <v>0.2</v>
      </c>
      <c r="K108" s="45">
        <v>0.2</v>
      </c>
      <c r="L108" s="45">
        <v>0.2</v>
      </c>
    </row>
    <row r="109" spans="2:12" x14ac:dyDescent="0.25">
      <c r="G109" s="36"/>
      <c r="H109" s="36"/>
      <c r="I109" s="36"/>
      <c r="J109" s="36"/>
      <c r="K109" s="36"/>
      <c r="L109" s="36"/>
    </row>
    <row r="110" spans="2:12" x14ac:dyDescent="0.25">
      <c r="B110" s="32" t="s">
        <v>65</v>
      </c>
      <c r="G110" s="36"/>
      <c r="H110" s="36"/>
      <c r="I110" s="36"/>
      <c r="J110" s="36"/>
      <c r="K110" s="36"/>
      <c r="L110" s="36"/>
    </row>
    <row r="111" spans="2:12" x14ac:dyDescent="0.25">
      <c r="B111" t="s">
        <v>60</v>
      </c>
      <c r="G111" s="45">
        <v>0.01</v>
      </c>
      <c r="H111" s="45">
        <v>0.01</v>
      </c>
      <c r="I111" s="45">
        <v>0.01</v>
      </c>
      <c r="J111" s="45">
        <v>0.01</v>
      </c>
      <c r="K111" s="45">
        <v>0.01</v>
      </c>
      <c r="L111" s="45">
        <v>0.01</v>
      </c>
    </row>
    <row r="112" spans="2:12" x14ac:dyDescent="0.25">
      <c r="B112" t="s">
        <v>61</v>
      </c>
      <c r="G112" s="45">
        <v>0.01</v>
      </c>
      <c r="H112" s="45">
        <v>0.01</v>
      </c>
      <c r="I112" s="45">
        <v>0.01</v>
      </c>
      <c r="J112" s="45">
        <v>0.01</v>
      </c>
      <c r="K112" s="45">
        <v>0.01</v>
      </c>
      <c r="L112" s="45">
        <v>0.01</v>
      </c>
    </row>
    <row r="113" spans="2:12" x14ac:dyDescent="0.25">
      <c r="B113" t="s">
        <v>62</v>
      </c>
      <c r="G113" s="45">
        <v>0.01</v>
      </c>
      <c r="H113" s="45">
        <v>0.01</v>
      </c>
      <c r="I113" s="45">
        <v>0.01</v>
      </c>
      <c r="J113" s="45">
        <v>0.01</v>
      </c>
      <c r="K113" s="45">
        <v>0.01</v>
      </c>
      <c r="L113" s="45">
        <v>0.01</v>
      </c>
    </row>
    <row r="114" spans="2:12" x14ac:dyDescent="0.25">
      <c r="G114" s="36"/>
      <c r="H114" s="36"/>
      <c r="I114" s="36"/>
      <c r="J114" s="36"/>
      <c r="K114" s="36"/>
      <c r="L114" s="36"/>
    </row>
    <row r="115" spans="2:12" x14ac:dyDescent="0.25">
      <c r="G115" s="36"/>
      <c r="H115" s="36"/>
      <c r="I115" s="36"/>
      <c r="J115" s="36"/>
      <c r="K115" s="36"/>
      <c r="L115" s="36"/>
    </row>
    <row r="116" spans="2:12" x14ac:dyDescent="0.25">
      <c r="G116" s="36"/>
      <c r="H116" s="36"/>
      <c r="I116" s="36"/>
      <c r="J116" s="36"/>
      <c r="K116" s="36"/>
      <c r="L116" s="36"/>
    </row>
    <row r="117" spans="2:12" x14ac:dyDescent="0.25">
      <c r="G117" s="36"/>
      <c r="H117" s="36"/>
      <c r="I117" s="36"/>
      <c r="J117" s="36"/>
      <c r="K117" s="36"/>
      <c r="L117" s="36"/>
    </row>
    <row r="118" spans="2:12" x14ac:dyDescent="0.25">
      <c r="G118" s="36"/>
      <c r="H118" s="36"/>
      <c r="I118" s="36"/>
      <c r="J118" s="36"/>
      <c r="K118" s="36"/>
      <c r="L118" s="36"/>
    </row>
    <row r="119" spans="2:12" x14ac:dyDescent="0.25">
      <c r="G119" s="36"/>
      <c r="H119" s="36"/>
      <c r="I119" s="36"/>
      <c r="J119" s="36"/>
      <c r="K119" s="36"/>
      <c r="L119" s="36"/>
    </row>
    <row r="120" spans="2:12" x14ac:dyDescent="0.25">
      <c r="G120" s="36"/>
      <c r="H120" s="36"/>
      <c r="I120" s="36"/>
      <c r="J120" s="36"/>
      <c r="K120" s="36"/>
      <c r="L120" s="36"/>
    </row>
    <row r="121" spans="2:12" x14ac:dyDescent="0.25">
      <c r="G121" s="36"/>
      <c r="H121" s="36"/>
      <c r="I121" s="36"/>
      <c r="J121" s="36"/>
      <c r="K121" s="36"/>
      <c r="L121" s="36"/>
    </row>
    <row r="122" spans="2:12" x14ac:dyDescent="0.25">
      <c r="G122" s="36"/>
      <c r="H122" s="36"/>
      <c r="I122" s="36"/>
      <c r="J122" s="36"/>
      <c r="K122" s="36"/>
      <c r="L122" s="36"/>
    </row>
    <row r="123" spans="2:12" x14ac:dyDescent="0.25">
      <c r="G123" s="36"/>
      <c r="H123" s="36"/>
      <c r="I123" s="36"/>
      <c r="J123" s="36"/>
      <c r="K123" s="36"/>
      <c r="L123" s="36"/>
    </row>
    <row r="124" spans="2:12" x14ac:dyDescent="0.25">
      <c r="G124" s="36"/>
      <c r="H124" s="36"/>
      <c r="I124" s="36"/>
      <c r="J124" s="36"/>
      <c r="K124" s="36"/>
      <c r="L124" s="36"/>
    </row>
    <row r="125" spans="2:12" x14ac:dyDescent="0.25">
      <c r="G125" s="36"/>
      <c r="H125" s="36"/>
      <c r="I125" s="36"/>
      <c r="J125" s="36"/>
      <c r="K125" s="36"/>
      <c r="L125" s="36"/>
    </row>
    <row r="126" spans="2:12" x14ac:dyDescent="0.25">
      <c r="G126" s="36"/>
      <c r="H126" s="36"/>
      <c r="I126" s="36"/>
      <c r="J126" s="36"/>
      <c r="K126" s="36"/>
      <c r="L126" s="36"/>
    </row>
    <row r="127" spans="2:12" x14ac:dyDescent="0.25">
      <c r="G127" s="36"/>
      <c r="H127" s="36"/>
      <c r="I127" s="36"/>
      <c r="J127" s="36"/>
      <c r="K127" s="36"/>
      <c r="L127" s="36"/>
    </row>
    <row r="128" spans="2:12" x14ac:dyDescent="0.25">
      <c r="G128" s="36"/>
      <c r="H128" s="36"/>
      <c r="I128" s="36"/>
      <c r="J128" s="36"/>
      <c r="K128" s="36"/>
      <c r="L128" s="36"/>
    </row>
    <row r="129" spans="7:12" x14ac:dyDescent="0.25">
      <c r="G129" s="36"/>
      <c r="H129" s="36"/>
      <c r="I129" s="36"/>
      <c r="J129" s="36"/>
      <c r="K129" s="36"/>
      <c r="L129" s="36"/>
    </row>
    <row r="130" spans="7:12" x14ac:dyDescent="0.25">
      <c r="G130" s="36"/>
      <c r="H130" s="36"/>
      <c r="I130" s="36"/>
      <c r="J130" s="36"/>
      <c r="K130" s="36"/>
      <c r="L130" s="36"/>
    </row>
    <row r="131" spans="7:12" x14ac:dyDescent="0.25">
      <c r="G131" s="36"/>
      <c r="H131" s="36"/>
      <c r="I131" s="36"/>
      <c r="J131" s="36"/>
      <c r="K131" s="36"/>
      <c r="L131" s="36"/>
    </row>
    <row r="132" spans="7:12" x14ac:dyDescent="0.25">
      <c r="G132" s="36"/>
      <c r="H132" s="36"/>
      <c r="I132" s="36"/>
      <c r="J132" s="36"/>
      <c r="K132" s="36"/>
      <c r="L132" s="36"/>
    </row>
    <row r="133" spans="7:12" x14ac:dyDescent="0.25">
      <c r="G133" s="36"/>
      <c r="H133" s="36"/>
      <c r="I133" s="36"/>
      <c r="J133" s="36"/>
      <c r="K133" s="36"/>
      <c r="L133" s="36"/>
    </row>
    <row r="134" spans="7:12" x14ac:dyDescent="0.25">
      <c r="H134" s="36"/>
      <c r="I134" s="36"/>
      <c r="J134" s="36"/>
      <c r="K134" s="36"/>
      <c r="L134" s="36"/>
    </row>
    <row r="135" spans="7:12" x14ac:dyDescent="0.25">
      <c r="H135" s="36"/>
      <c r="I135" s="36"/>
      <c r="J135" s="36"/>
      <c r="K135" s="36"/>
      <c r="L135" s="36"/>
    </row>
    <row r="136" spans="7:12" x14ac:dyDescent="0.25">
      <c r="H136" s="36"/>
      <c r="I136" s="36"/>
      <c r="J136" s="36"/>
      <c r="K136" s="36"/>
      <c r="L136" s="36"/>
    </row>
    <row r="137" spans="7:12" x14ac:dyDescent="0.25">
      <c r="H137" s="36"/>
      <c r="I137" s="36"/>
      <c r="J137" s="36"/>
      <c r="K137" s="36"/>
      <c r="L137" s="36"/>
    </row>
    <row r="138" spans="7:12" x14ac:dyDescent="0.25">
      <c r="H138" s="36"/>
      <c r="I138" s="36"/>
      <c r="J138" s="36"/>
      <c r="K138" s="36"/>
      <c r="L138" s="36"/>
    </row>
    <row r="139" spans="7:12" x14ac:dyDescent="0.25">
      <c r="H139" s="36"/>
      <c r="I139" s="36"/>
      <c r="J139" s="36"/>
      <c r="K139" s="36"/>
      <c r="L139" s="36"/>
    </row>
    <row r="140" spans="7:12" x14ac:dyDescent="0.25">
      <c r="H140" s="36"/>
      <c r="I140" s="36"/>
      <c r="J140" s="36"/>
      <c r="K140" s="36"/>
      <c r="L140" s="36"/>
    </row>
    <row r="141" spans="7:12" x14ac:dyDescent="0.25">
      <c r="H141" s="36"/>
      <c r="I141" s="36"/>
      <c r="J141" s="36"/>
      <c r="K141" s="36"/>
      <c r="L141" s="36"/>
    </row>
    <row r="142" spans="7:12" x14ac:dyDescent="0.25">
      <c r="H142" s="36"/>
      <c r="I142" s="36"/>
      <c r="J142" s="36"/>
      <c r="K142" s="36"/>
      <c r="L142" s="36"/>
    </row>
    <row r="143" spans="7:12" x14ac:dyDescent="0.25">
      <c r="H143" s="36"/>
      <c r="I143" s="36"/>
      <c r="J143" s="36"/>
      <c r="K143" s="36"/>
      <c r="L143" s="36"/>
    </row>
    <row r="144" spans="7:12" x14ac:dyDescent="0.25">
      <c r="H144" s="36"/>
      <c r="I144" s="36"/>
      <c r="J144" s="36"/>
      <c r="K144" s="36"/>
      <c r="L144" s="36"/>
    </row>
    <row r="145" spans="8:12" x14ac:dyDescent="0.25">
      <c r="H145" s="36"/>
      <c r="I145" s="36"/>
      <c r="J145" s="36"/>
      <c r="K145" s="36"/>
      <c r="L145" s="36"/>
    </row>
    <row r="146" spans="8:12" x14ac:dyDescent="0.25">
      <c r="H146" s="36"/>
      <c r="I146" s="36"/>
      <c r="J146" s="36"/>
      <c r="K146" s="36"/>
      <c r="L146" s="36"/>
    </row>
    <row r="147" spans="8:12" x14ac:dyDescent="0.25">
      <c r="H147" s="36"/>
      <c r="I147" s="36"/>
      <c r="J147" s="36"/>
      <c r="K147" s="36"/>
      <c r="L147" s="36"/>
    </row>
  </sheetData>
  <dataValidations count="1">
    <dataValidation type="list" allowBlank="1" showInputMessage="1" showErrorMessage="1" sqref="C5" xr:uid="{5B4D87DA-CC34-48D0-BCC0-A4A4354DB357}">
      <formula1>$O$6:$O$8</formula1>
    </dataValidation>
  </dataValidations>
  <pageMargins left="0.7" right="0.7" top="0.75" bottom="0.75" header="0.3" footer="0.3"/>
  <pageSetup scale="41"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C0769-A807-4513-BC22-CFC1C9AE034F}">
  <dimension ref="B2:M97"/>
  <sheetViews>
    <sheetView showGridLines="0" view="pageBreakPreview" zoomScale="115" zoomScaleNormal="100" zoomScaleSheetLayoutView="115" workbookViewId="0"/>
  </sheetViews>
  <sheetFormatPr defaultRowHeight="15" x14ac:dyDescent="0.25"/>
  <cols>
    <col min="2" max="2" width="26.28515625" bestFit="1" customWidth="1"/>
    <col min="3" max="5" width="11.85546875" bestFit="1" customWidth="1"/>
    <col min="6" max="6" width="10.7109375" bestFit="1" customWidth="1"/>
    <col min="7" max="7" width="15" style="361" bestFit="1" customWidth="1"/>
    <col min="8" max="8" width="16.140625" style="361" bestFit="1" customWidth="1"/>
    <col min="9" max="13" width="9.5703125" style="361" customWidth="1"/>
    <col min="14" max="14" width="1.85546875" customWidth="1"/>
  </cols>
  <sheetData>
    <row r="2" spans="2:13" x14ac:dyDescent="0.25">
      <c r="B2" s="375" t="s">
        <v>472</v>
      </c>
    </row>
    <row r="4" spans="2:13" x14ac:dyDescent="0.25">
      <c r="B4" s="13" t="s">
        <v>455</v>
      </c>
      <c r="C4" s="365">
        <v>43465</v>
      </c>
      <c r="D4" s="365">
        <v>43829</v>
      </c>
      <c r="E4" s="365">
        <v>44196</v>
      </c>
      <c r="F4" s="365">
        <v>44377</v>
      </c>
      <c r="G4" s="366" t="s">
        <v>456</v>
      </c>
      <c r="H4" s="367" t="s">
        <v>465</v>
      </c>
      <c r="I4" s="367">
        <v>2021</v>
      </c>
      <c r="J4" s="367">
        <v>2022</v>
      </c>
      <c r="K4" s="367">
        <v>2023</v>
      </c>
      <c r="L4" s="367">
        <v>2024</v>
      </c>
      <c r="M4" s="367">
        <v>2025</v>
      </c>
    </row>
    <row r="5" spans="2:13" x14ac:dyDescent="0.25">
      <c r="B5" s="29" t="s">
        <v>443</v>
      </c>
      <c r="G5" s="368"/>
    </row>
    <row r="6" spans="2:13" x14ac:dyDescent="0.25">
      <c r="B6" t="s">
        <v>34</v>
      </c>
      <c r="C6" s="44"/>
      <c r="D6" s="44"/>
      <c r="E6" s="44"/>
      <c r="F6" s="44">
        <v>3442</v>
      </c>
      <c r="G6" s="369"/>
    </row>
    <row r="7" spans="2:13" x14ac:dyDescent="0.25">
      <c r="B7" t="s">
        <v>444</v>
      </c>
      <c r="C7" s="44"/>
      <c r="D7" s="44"/>
      <c r="E7" s="44"/>
      <c r="F7" s="44">
        <v>5353</v>
      </c>
      <c r="G7" s="369"/>
    </row>
    <row r="8" spans="2:13" x14ac:dyDescent="0.25">
      <c r="B8" t="s">
        <v>445</v>
      </c>
      <c r="C8" s="44"/>
      <c r="D8" s="44"/>
      <c r="E8" s="44"/>
      <c r="F8" s="44">
        <v>711</v>
      </c>
      <c r="G8" s="369"/>
    </row>
    <row r="9" spans="2:13" x14ac:dyDescent="0.25">
      <c r="B9" t="s">
        <v>446</v>
      </c>
      <c r="C9" s="42"/>
      <c r="D9" s="42"/>
      <c r="E9" s="42"/>
      <c r="F9" s="42">
        <v>64</v>
      </c>
      <c r="G9" s="370"/>
      <c r="H9" s="362"/>
      <c r="I9" s="362"/>
      <c r="J9" s="362"/>
      <c r="K9" s="362"/>
      <c r="L9" s="362"/>
      <c r="M9" s="362"/>
    </row>
    <row r="10" spans="2:13" x14ac:dyDescent="0.25">
      <c r="B10" s="11" t="s">
        <v>447</v>
      </c>
      <c r="C10" s="41"/>
      <c r="D10" s="41"/>
      <c r="E10" s="41"/>
      <c r="F10" s="41">
        <f>SUM(F6:F9)</f>
        <v>9570</v>
      </c>
      <c r="G10" s="371">
        <f t="shared" ref="G10:H10" si="0">SUM(G6:G9)</f>
        <v>0</v>
      </c>
      <c r="H10" s="41">
        <f t="shared" si="0"/>
        <v>0</v>
      </c>
      <c r="I10" s="41"/>
      <c r="J10" s="41"/>
      <c r="K10" s="41"/>
      <c r="L10" s="41"/>
      <c r="M10" s="41"/>
    </row>
    <row r="11" spans="2:13" x14ac:dyDescent="0.25">
      <c r="G11" s="369"/>
    </row>
    <row r="12" spans="2:13" x14ac:dyDescent="0.25">
      <c r="B12" t="s">
        <v>448</v>
      </c>
      <c r="C12" s="363"/>
      <c r="D12" s="363"/>
      <c r="E12" s="363"/>
      <c r="F12" s="363">
        <v>65</v>
      </c>
      <c r="G12" s="369"/>
    </row>
    <row r="13" spans="2:13" x14ac:dyDescent="0.25">
      <c r="B13" t="s">
        <v>449</v>
      </c>
      <c r="C13" s="363"/>
      <c r="D13" s="363"/>
      <c r="E13" s="363"/>
      <c r="F13" s="363">
        <v>26541</v>
      </c>
      <c r="G13" s="369"/>
    </row>
    <row r="14" spans="2:13" x14ac:dyDescent="0.25">
      <c r="B14" s="11" t="s">
        <v>450</v>
      </c>
      <c r="C14" s="43"/>
      <c r="D14" s="43"/>
      <c r="E14" s="43"/>
      <c r="F14" s="43">
        <f>SUM(F10:F13)</f>
        <v>36176</v>
      </c>
      <c r="G14" s="372">
        <f t="shared" ref="G14:H14" si="1">SUM(G10:G13)</f>
        <v>0</v>
      </c>
      <c r="H14" s="43">
        <f t="shared" si="1"/>
        <v>0</v>
      </c>
      <c r="I14" s="43"/>
      <c r="J14" s="43"/>
      <c r="K14" s="43"/>
      <c r="L14" s="43"/>
      <c r="M14" s="43"/>
    </row>
    <row r="15" spans="2:13" x14ac:dyDescent="0.25">
      <c r="G15" s="369"/>
    </row>
    <row r="16" spans="2:13" x14ac:dyDescent="0.25">
      <c r="B16" s="29" t="s">
        <v>451</v>
      </c>
      <c r="C16" s="29"/>
      <c r="D16" s="29"/>
      <c r="E16" s="29"/>
      <c r="F16" s="29"/>
      <c r="G16" s="373"/>
      <c r="H16" s="364"/>
      <c r="I16" s="364"/>
      <c r="J16" s="364"/>
      <c r="K16" s="364"/>
      <c r="L16" s="364"/>
      <c r="M16" s="364"/>
    </row>
    <row r="17" spans="2:13" x14ac:dyDescent="0.25">
      <c r="B17" t="s">
        <v>466</v>
      </c>
      <c r="C17" s="44"/>
      <c r="D17" s="44"/>
      <c r="E17" s="44"/>
      <c r="F17" s="44">
        <v>3704</v>
      </c>
      <c r="G17" s="373"/>
      <c r="H17" s="364"/>
      <c r="I17" s="364"/>
      <c r="J17" s="364"/>
      <c r="K17" s="364"/>
      <c r="L17" s="364"/>
      <c r="M17" s="364"/>
    </row>
    <row r="18" spans="2:13" x14ac:dyDescent="0.25">
      <c r="B18" t="s">
        <v>467</v>
      </c>
      <c r="C18" s="44"/>
      <c r="D18" s="44"/>
      <c r="E18" s="44"/>
      <c r="F18" s="44">
        <v>1240</v>
      </c>
      <c r="G18" s="373"/>
      <c r="H18" s="364"/>
      <c r="I18" s="364"/>
      <c r="J18" s="364"/>
      <c r="K18" s="364"/>
      <c r="L18" s="364"/>
      <c r="M18" s="364"/>
    </row>
    <row r="19" spans="2:13" x14ac:dyDescent="0.25">
      <c r="B19" t="s">
        <v>468</v>
      </c>
      <c r="C19" s="44"/>
      <c r="D19" s="44"/>
      <c r="E19" s="44"/>
      <c r="F19" s="44">
        <v>989</v>
      </c>
      <c r="G19" s="373"/>
      <c r="H19" s="364"/>
      <c r="I19" s="364"/>
      <c r="J19" s="364"/>
      <c r="K19" s="364"/>
      <c r="L19" s="364"/>
      <c r="M19" s="364"/>
    </row>
    <row r="20" spans="2:13" x14ac:dyDescent="0.25">
      <c r="B20" t="s">
        <v>469</v>
      </c>
      <c r="C20" s="44"/>
      <c r="D20" s="44"/>
      <c r="E20" s="44"/>
      <c r="F20" s="44">
        <v>1</v>
      </c>
      <c r="G20" s="373"/>
      <c r="H20" s="364"/>
      <c r="I20" s="364"/>
      <c r="J20" s="364"/>
      <c r="K20" s="364"/>
      <c r="L20" s="364"/>
      <c r="M20" s="364"/>
    </row>
    <row r="21" spans="2:13" x14ac:dyDescent="0.25">
      <c r="B21" t="s">
        <v>470</v>
      </c>
      <c r="C21" s="44"/>
      <c r="D21" s="44"/>
      <c r="E21" s="44"/>
      <c r="F21" s="44">
        <v>73</v>
      </c>
      <c r="G21" s="373"/>
      <c r="H21" s="364"/>
      <c r="I21" s="364"/>
      <c r="J21" s="364"/>
      <c r="K21" s="364"/>
      <c r="L21" s="364"/>
      <c r="M21" s="364"/>
    </row>
    <row r="22" spans="2:13" x14ac:dyDescent="0.25">
      <c r="B22" t="s">
        <v>471</v>
      </c>
      <c r="C22" s="44"/>
      <c r="D22" s="44"/>
      <c r="E22" s="44"/>
      <c r="F22" s="44">
        <v>156</v>
      </c>
      <c r="G22" s="373"/>
      <c r="H22" s="364"/>
      <c r="I22" s="364"/>
      <c r="J22" s="364"/>
      <c r="K22" s="364"/>
      <c r="L22" s="364"/>
      <c r="M22" s="364"/>
    </row>
    <row r="23" spans="2:13" x14ac:dyDescent="0.25">
      <c r="B23" s="11" t="s">
        <v>452</v>
      </c>
      <c r="C23" s="43"/>
      <c r="D23" s="43"/>
      <c r="E23" s="43"/>
      <c r="F23" s="43">
        <f>SUM(F17:F22)</f>
        <v>6163</v>
      </c>
      <c r="G23" s="372">
        <f t="shared" ref="G23:H23" si="2">SUM(G17:G22)</f>
        <v>0</v>
      </c>
      <c r="H23" s="43">
        <f t="shared" si="2"/>
        <v>0</v>
      </c>
      <c r="I23" s="43"/>
      <c r="J23" s="43"/>
      <c r="K23" s="43"/>
      <c r="L23" s="43"/>
      <c r="M23" s="43"/>
    </row>
    <row r="24" spans="2:13" x14ac:dyDescent="0.25">
      <c r="B24" t="s">
        <v>453</v>
      </c>
      <c r="C24" s="44"/>
      <c r="D24" s="44"/>
      <c r="E24" s="44"/>
      <c r="F24" s="44">
        <v>13522</v>
      </c>
      <c r="G24" s="369"/>
    </row>
    <row r="25" spans="2:13" x14ac:dyDescent="0.25">
      <c r="B25" t="s">
        <v>454</v>
      </c>
      <c r="C25" s="44"/>
      <c r="D25" s="44"/>
      <c r="E25" s="44"/>
      <c r="F25" s="44">
        <v>-358</v>
      </c>
      <c r="G25" s="369"/>
    </row>
    <row r="26" spans="2:13" x14ac:dyDescent="0.25">
      <c r="B26" t="s">
        <v>458</v>
      </c>
      <c r="C26" s="44"/>
      <c r="D26" s="44"/>
      <c r="E26" s="44"/>
      <c r="F26" s="44"/>
      <c r="G26" s="369"/>
    </row>
    <row r="27" spans="2:13" x14ac:dyDescent="0.25">
      <c r="B27" t="s">
        <v>457</v>
      </c>
      <c r="C27" s="44"/>
      <c r="D27" s="44"/>
      <c r="E27" s="44"/>
      <c r="F27" s="44"/>
      <c r="G27" s="369"/>
    </row>
    <row r="28" spans="2:13" x14ac:dyDescent="0.25">
      <c r="B28" t="s">
        <v>459</v>
      </c>
      <c r="C28" s="44"/>
      <c r="D28" s="44"/>
      <c r="E28" s="44"/>
      <c r="F28" s="44"/>
      <c r="G28" s="369"/>
    </row>
    <row r="29" spans="2:13" x14ac:dyDescent="0.25">
      <c r="B29" t="s">
        <v>460</v>
      </c>
      <c r="C29" s="44"/>
      <c r="D29" s="44"/>
      <c r="E29" s="44"/>
      <c r="F29" s="44">
        <v>3500</v>
      </c>
      <c r="G29" s="369"/>
    </row>
    <row r="30" spans="2:13" x14ac:dyDescent="0.25">
      <c r="B30" t="s">
        <v>461</v>
      </c>
      <c r="C30" s="44"/>
      <c r="D30" s="44"/>
      <c r="E30" s="44"/>
      <c r="F30" s="44">
        <v>7046</v>
      </c>
      <c r="G30" s="369"/>
    </row>
    <row r="31" spans="2:13" x14ac:dyDescent="0.25">
      <c r="B31" t="s">
        <v>462</v>
      </c>
      <c r="C31" s="44"/>
      <c r="D31" s="44"/>
      <c r="E31" s="44"/>
      <c r="F31" s="44">
        <v>437</v>
      </c>
      <c r="G31" s="369"/>
    </row>
    <row r="32" spans="2:13" x14ac:dyDescent="0.25">
      <c r="B32" t="s">
        <v>463</v>
      </c>
      <c r="C32" s="42"/>
      <c r="D32" s="42"/>
      <c r="E32" s="42"/>
      <c r="F32" s="42">
        <v>578</v>
      </c>
      <c r="G32" s="370"/>
      <c r="H32" s="362"/>
      <c r="I32" s="362"/>
      <c r="J32" s="362"/>
      <c r="K32" s="362"/>
      <c r="L32" s="362"/>
      <c r="M32" s="362"/>
    </row>
    <row r="33" spans="2:13" x14ac:dyDescent="0.25">
      <c r="B33" s="11" t="s">
        <v>464</v>
      </c>
      <c r="C33" s="41"/>
      <c r="D33" s="41"/>
      <c r="E33" s="41"/>
      <c r="F33" s="41">
        <f>SUM(F23:F32)</f>
        <v>30888</v>
      </c>
      <c r="G33" s="374">
        <f>SUM(G23:G32)</f>
        <v>0</v>
      </c>
      <c r="H33" s="41">
        <f>SUM(H23:H32)</f>
        <v>0</v>
      </c>
      <c r="I33" s="41"/>
      <c r="J33" s="41"/>
      <c r="K33" s="41"/>
      <c r="L33" s="41"/>
      <c r="M33" s="41"/>
    </row>
    <row r="34" spans="2:13" x14ac:dyDescent="0.25">
      <c r="C34" s="44"/>
      <c r="D34" s="44"/>
      <c r="E34" s="44"/>
      <c r="F34" s="44"/>
    </row>
    <row r="35" spans="2:13" x14ac:dyDescent="0.25">
      <c r="B35" s="11" t="s">
        <v>475</v>
      </c>
      <c r="C35" s="44">
        <f>C14-C33</f>
        <v>0</v>
      </c>
      <c r="D35" s="44">
        <f t="shared" ref="D35:M35" si="3">D14-D33</f>
        <v>0</v>
      </c>
      <c r="E35" s="44">
        <f t="shared" si="3"/>
        <v>0</v>
      </c>
      <c r="F35" s="44">
        <f t="shared" si="3"/>
        <v>5288</v>
      </c>
      <c r="H35" s="44">
        <f t="shared" si="3"/>
        <v>0</v>
      </c>
      <c r="I35" s="44">
        <f t="shared" si="3"/>
        <v>0</v>
      </c>
      <c r="J35" s="44">
        <f t="shared" si="3"/>
        <v>0</v>
      </c>
      <c r="K35" s="44">
        <f t="shared" si="3"/>
        <v>0</v>
      </c>
      <c r="L35" s="44">
        <f t="shared" si="3"/>
        <v>0</v>
      </c>
      <c r="M35" s="44">
        <f t="shared" si="3"/>
        <v>0</v>
      </c>
    </row>
    <row r="36" spans="2:13" x14ac:dyDescent="0.25">
      <c r="C36" s="44"/>
      <c r="D36" s="44"/>
      <c r="E36" s="44"/>
      <c r="F36" s="44"/>
    </row>
    <row r="37" spans="2:13" x14ac:dyDescent="0.25">
      <c r="C37" s="44"/>
      <c r="D37" s="44"/>
      <c r="E37" s="44"/>
      <c r="F37" s="44"/>
    </row>
    <row r="38" spans="2:13" x14ac:dyDescent="0.25">
      <c r="B38" s="13" t="s">
        <v>476</v>
      </c>
      <c r="C38" s="376"/>
      <c r="D38" s="376"/>
      <c r="E38" s="376"/>
      <c r="F38" s="376"/>
      <c r="G38" s="367"/>
      <c r="H38" s="367"/>
      <c r="I38" s="367"/>
      <c r="J38" s="367"/>
      <c r="K38" s="367"/>
      <c r="L38" s="367"/>
      <c r="M38" s="367"/>
    </row>
    <row r="39" spans="2:13" x14ac:dyDescent="0.25">
      <c r="B39" s="24" t="s">
        <v>477</v>
      </c>
      <c r="C39" s="44"/>
      <c r="D39" s="44"/>
      <c r="E39" s="44"/>
      <c r="F39" s="44"/>
    </row>
    <row r="40" spans="2:13" x14ac:dyDescent="0.25">
      <c r="B40" t="s">
        <v>478</v>
      </c>
      <c r="C40" s="377"/>
      <c r="D40" s="377">
        <f>C42</f>
        <v>0</v>
      </c>
      <c r="E40" s="377">
        <f t="shared" ref="E40:F40" si="4">D42</f>
        <v>0</v>
      </c>
      <c r="F40" s="377">
        <f t="shared" si="4"/>
        <v>0</v>
      </c>
      <c r="H40" s="377">
        <f>F42</f>
        <v>0</v>
      </c>
      <c r="I40" s="377">
        <f>H42</f>
        <v>0</v>
      </c>
      <c r="J40" s="377">
        <f t="shared" ref="J40:M40" si="5">I42</f>
        <v>0</v>
      </c>
      <c r="K40" s="377">
        <f t="shared" si="5"/>
        <v>0</v>
      </c>
      <c r="L40" s="377">
        <f t="shared" si="5"/>
        <v>0</v>
      </c>
      <c r="M40" s="377">
        <f t="shared" si="5"/>
        <v>0</v>
      </c>
    </row>
    <row r="41" spans="2:13" x14ac:dyDescent="0.25">
      <c r="B41" t="s">
        <v>480</v>
      </c>
      <c r="C41" s="377"/>
      <c r="D41" s="377"/>
      <c r="E41" s="377"/>
      <c r="F41" s="377"/>
      <c r="H41" s="155"/>
      <c r="I41" s="155"/>
      <c r="J41" s="155"/>
      <c r="K41" s="155"/>
      <c r="L41" s="155"/>
      <c r="M41" s="155"/>
    </row>
    <row r="42" spans="2:13" x14ac:dyDescent="0.25">
      <c r="B42" s="11" t="s">
        <v>479</v>
      </c>
      <c r="C42" s="378">
        <f>C40+C41</f>
        <v>0</v>
      </c>
      <c r="D42" s="378">
        <f t="shared" ref="D42:M42" si="6">D40+D41</f>
        <v>0</v>
      </c>
      <c r="E42" s="378">
        <f t="shared" si="6"/>
        <v>0</v>
      </c>
      <c r="F42" s="378">
        <f t="shared" si="6"/>
        <v>0</v>
      </c>
      <c r="G42" s="41"/>
      <c r="H42" s="378">
        <f t="shared" si="6"/>
        <v>0</v>
      </c>
      <c r="I42" s="378">
        <f t="shared" si="6"/>
        <v>0</v>
      </c>
      <c r="J42" s="378">
        <f t="shared" si="6"/>
        <v>0</v>
      </c>
      <c r="K42" s="378">
        <f t="shared" si="6"/>
        <v>0</v>
      </c>
      <c r="L42" s="378">
        <f t="shared" si="6"/>
        <v>0</v>
      </c>
      <c r="M42" s="378">
        <f t="shared" si="6"/>
        <v>0</v>
      </c>
    </row>
    <row r="43" spans="2:13" x14ac:dyDescent="0.25">
      <c r="B43" s="11"/>
      <c r="C43" s="378"/>
      <c r="D43" s="378"/>
      <c r="E43" s="378"/>
      <c r="F43" s="378"/>
      <c r="G43" s="41"/>
      <c r="H43" s="378"/>
      <c r="I43" s="378"/>
      <c r="J43" s="378"/>
      <c r="K43" s="378"/>
      <c r="L43" s="378"/>
      <c r="M43" s="378"/>
    </row>
    <row r="44" spans="2:13" x14ac:dyDescent="0.25">
      <c r="B44" s="379" t="s">
        <v>481</v>
      </c>
      <c r="C44" s="378"/>
      <c r="D44" s="378"/>
      <c r="E44" s="378"/>
      <c r="F44" s="378"/>
      <c r="G44" s="41"/>
      <c r="H44" s="378"/>
      <c r="I44" s="378"/>
      <c r="J44" s="378"/>
      <c r="K44" s="378"/>
      <c r="L44" s="378"/>
      <c r="M44" s="378"/>
    </row>
    <row r="45" spans="2:13" x14ac:dyDescent="0.25">
      <c r="B45" s="379" t="s">
        <v>482</v>
      </c>
      <c r="C45" s="378">
        <f>C44*365</f>
        <v>0</v>
      </c>
      <c r="D45" s="378">
        <f t="shared" ref="D45:H45" si="7">D44*365</f>
        <v>0</v>
      </c>
      <c r="E45" s="378">
        <f t="shared" si="7"/>
        <v>0</v>
      </c>
      <c r="F45" s="378">
        <f t="shared" si="7"/>
        <v>0</v>
      </c>
      <c r="G45" s="41"/>
      <c r="H45" s="378">
        <f t="shared" si="7"/>
        <v>0</v>
      </c>
      <c r="I45" s="378">
        <f t="shared" ref="I45" si="8">I44*365</f>
        <v>0</v>
      </c>
      <c r="J45" s="378">
        <f t="shared" ref="J45" si="9">J44*365</f>
        <v>0</v>
      </c>
      <c r="K45" s="378">
        <f t="shared" ref="K45" si="10">K44*365</f>
        <v>0</v>
      </c>
      <c r="L45" s="378">
        <f t="shared" ref="L45" si="11">L44*365</f>
        <v>0</v>
      </c>
      <c r="M45" s="378">
        <f t="shared" ref="M45" si="12">M44*365</f>
        <v>0</v>
      </c>
    </row>
    <row r="46" spans="2:13" x14ac:dyDescent="0.25">
      <c r="B46" s="11"/>
      <c r="C46" s="378"/>
      <c r="D46" s="378"/>
      <c r="E46" s="378"/>
      <c r="F46" s="378"/>
      <c r="G46" s="41"/>
      <c r="H46" s="378"/>
      <c r="I46" s="378"/>
      <c r="J46" s="378"/>
      <c r="K46" s="378"/>
      <c r="L46" s="378"/>
      <c r="M46" s="378"/>
    </row>
    <row r="47" spans="2:13" x14ac:dyDescent="0.25">
      <c r="B47" s="24" t="s">
        <v>445</v>
      </c>
      <c r="C47" s="44"/>
      <c r="D47" s="44"/>
      <c r="E47" s="44"/>
      <c r="F47" s="44"/>
    </row>
    <row r="48" spans="2:13" x14ac:dyDescent="0.25">
      <c r="B48" t="s">
        <v>478</v>
      </c>
      <c r="C48" s="377"/>
      <c r="D48" s="377">
        <f>C50</f>
        <v>0</v>
      </c>
      <c r="E48" s="377">
        <f t="shared" ref="E48:F48" si="13">D50</f>
        <v>0</v>
      </c>
      <c r="F48" s="377">
        <f t="shared" si="13"/>
        <v>0</v>
      </c>
      <c r="H48" s="377">
        <f>F50</f>
        <v>0</v>
      </c>
      <c r="I48" s="377">
        <f>H50</f>
        <v>0</v>
      </c>
      <c r="J48" s="377">
        <f t="shared" ref="J48:M48" si="14">I50</f>
        <v>0</v>
      </c>
      <c r="K48" s="377">
        <f t="shared" si="14"/>
        <v>0</v>
      </c>
      <c r="L48" s="377">
        <f t="shared" si="14"/>
        <v>0</v>
      </c>
      <c r="M48" s="377">
        <f t="shared" si="14"/>
        <v>0</v>
      </c>
    </row>
    <row r="49" spans="2:13" x14ac:dyDescent="0.25">
      <c r="B49" t="s">
        <v>480</v>
      </c>
      <c r="C49" s="377"/>
      <c r="D49" s="377"/>
      <c r="E49" s="377"/>
      <c r="F49" s="377"/>
      <c r="H49" s="155"/>
      <c r="I49" s="155"/>
      <c r="J49" s="155"/>
      <c r="K49" s="155"/>
      <c r="L49" s="155"/>
      <c r="M49" s="155"/>
    </row>
    <row r="50" spans="2:13" x14ac:dyDescent="0.25">
      <c r="B50" s="11" t="s">
        <v>479</v>
      </c>
      <c r="C50" s="378">
        <f>C48+C49</f>
        <v>0</v>
      </c>
      <c r="D50" s="378">
        <f t="shared" ref="D50" si="15">D48+D49</f>
        <v>0</v>
      </c>
      <c r="E50" s="378">
        <f t="shared" ref="E50" si="16">E48+E49</f>
        <v>0</v>
      </c>
      <c r="F50" s="378">
        <f t="shared" ref="F50" si="17">F48+F49</f>
        <v>0</v>
      </c>
      <c r="G50" s="41"/>
      <c r="H50" s="378">
        <f t="shared" ref="H50" si="18">H48+H49</f>
        <v>0</v>
      </c>
      <c r="I50" s="378">
        <f t="shared" ref="I50" si="19">I48+I49</f>
        <v>0</v>
      </c>
      <c r="J50" s="378">
        <f t="shared" ref="J50" si="20">J48+J49</f>
        <v>0</v>
      </c>
      <c r="K50" s="378">
        <f t="shared" ref="K50" si="21">K48+K49</f>
        <v>0</v>
      </c>
      <c r="L50" s="378">
        <f t="shared" ref="L50" si="22">L48+L49</f>
        <v>0</v>
      </c>
      <c r="M50" s="378">
        <f t="shared" ref="M50" si="23">M48+M49</f>
        <v>0</v>
      </c>
    </row>
    <row r="51" spans="2:13" x14ac:dyDescent="0.25">
      <c r="B51" s="11"/>
      <c r="C51" s="378"/>
      <c r="D51" s="378"/>
      <c r="E51" s="378"/>
      <c r="F51" s="378"/>
      <c r="G51" s="41"/>
      <c r="H51" s="378"/>
      <c r="I51" s="378"/>
      <c r="J51" s="378"/>
      <c r="K51" s="378"/>
      <c r="L51" s="378"/>
      <c r="M51" s="378"/>
    </row>
    <row r="52" spans="2:13" x14ac:dyDescent="0.25">
      <c r="B52" s="379" t="s">
        <v>483</v>
      </c>
      <c r="C52" s="378"/>
      <c r="D52" s="378"/>
      <c r="E52" s="378"/>
      <c r="F52" s="378"/>
      <c r="G52" s="41"/>
      <c r="H52" s="378"/>
      <c r="I52" s="378"/>
      <c r="J52" s="378"/>
      <c r="K52" s="378"/>
      <c r="L52" s="378"/>
      <c r="M52" s="378"/>
    </row>
    <row r="53" spans="2:13" x14ac:dyDescent="0.25">
      <c r="B53" s="379"/>
      <c r="C53" s="378"/>
      <c r="D53" s="378"/>
      <c r="E53" s="378"/>
      <c r="F53" s="378"/>
      <c r="G53" s="41"/>
      <c r="H53" s="378"/>
      <c r="I53" s="378"/>
      <c r="J53" s="378"/>
      <c r="K53" s="378"/>
      <c r="L53" s="378"/>
      <c r="M53" s="378"/>
    </row>
    <row r="54" spans="2:13" x14ac:dyDescent="0.25">
      <c r="B54" s="24" t="s">
        <v>484</v>
      </c>
      <c r="C54" s="44"/>
      <c r="D54" s="44"/>
      <c r="E54" s="44"/>
      <c r="F54" s="44"/>
    </row>
    <row r="55" spans="2:13" x14ac:dyDescent="0.25">
      <c r="B55" t="s">
        <v>478</v>
      </c>
      <c r="C55" s="377"/>
      <c r="D55" s="377">
        <f>C57</f>
        <v>0</v>
      </c>
      <c r="E55" s="377">
        <f t="shared" ref="E55:F55" si="24">D57</f>
        <v>0</v>
      </c>
      <c r="F55" s="377">
        <f t="shared" si="24"/>
        <v>0</v>
      </c>
      <c r="H55" s="377">
        <f>F57</f>
        <v>0</v>
      </c>
      <c r="I55" s="377">
        <f>H57</f>
        <v>0</v>
      </c>
      <c r="J55" s="377">
        <f t="shared" ref="J55:M55" si="25">I57</f>
        <v>0</v>
      </c>
      <c r="K55" s="377">
        <f t="shared" si="25"/>
        <v>0</v>
      </c>
      <c r="L55" s="377">
        <f t="shared" si="25"/>
        <v>0</v>
      </c>
      <c r="M55" s="377">
        <f t="shared" si="25"/>
        <v>0</v>
      </c>
    </row>
    <row r="56" spans="2:13" x14ac:dyDescent="0.25">
      <c r="B56" t="s">
        <v>480</v>
      </c>
      <c r="C56" s="377"/>
      <c r="D56" s="377"/>
      <c r="E56" s="377"/>
      <c r="F56" s="377"/>
      <c r="H56" s="155"/>
      <c r="I56" s="155"/>
      <c r="J56" s="155"/>
      <c r="K56" s="155"/>
      <c r="L56" s="155"/>
      <c r="M56" s="155"/>
    </row>
    <row r="57" spans="2:13" x14ac:dyDescent="0.25">
      <c r="B57" s="11" t="s">
        <v>479</v>
      </c>
      <c r="C57" s="378">
        <f>C55+C56</f>
        <v>0</v>
      </c>
      <c r="D57" s="378">
        <f t="shared" ref="D57" si="26">D55+D56</f>
        <v>0</v>
      </c>
      <c r="E57" s="378">
        <f t="shared" ref="E57" si="27">E55+E56</f>
        <v>0</v>
      </c>
      <c r="F57" s="378">
        <f t="shared" ref="F57" si="28">F55+F56</f>
        <v>0</v>
      </c>
      <c r="G57" s="41"/>
      <c r="H57" s="378">
        <f t="shared" ref="H57" si="29">H55+H56</f>
        <v>0</v>
      </c>
      <c r="I57" s="378">
        <f t="shared" ref="I57" si="30">I55+I56</f>
        <v>0</v>
      </c>
      <c r="J57" s="378">
        <f t="shared" ref="J57" si="31">J55+J56</f>
        <v>0</v>
      </c>
      <c r="K57" s="378">
        <f t="shared" ref="K57" si="32">K55+K56</f>
        <v>0</v>
      </c>
      <c r="L57" s="378">
        <f t="shared" ref="L57" si="33">L55+L56</f>
        <v>0</v>
      </c>
      <c r="M57" s="378">
        <f t="shared" ref="M57" si="34">M55+M56</f>
        <v>0</v>
      </c>
    </row>
    <row r="58" spans="2:13" x14ac:dyDescent="0.25">
      <c r="B58" s="11"/>
      <c r="C58" s="378"/>
      <c r="D58" s="378"/>
      <c r="E58" s="378"/>
      <c r="F58" s="378"/>
      <c r="G58" s="41"/>
      <c r="H58" s="378"/>
      <c r="I58" s="378"/>
      <c r="J58" s="378"/>
      <c r="K58" s="378"/>
      <c r="L58" s="378"/>
      <c r="M58" s="378"/>
    </row>
    <row r="59" spans="2:13" x14ac:dyDescent="0.25">
      <c r="B59" s="379" t="s">
        <v>485</v>
      </c>
      <c r="C59" s="378"/>
      <c r="D59" s="378"/>
      <c r="E59" s="378"/>
      <c r="F59" s="378"/>
      <c r="G59" s="41"/>
      <c r="H59" s="378"/>
      <c r="I59" s="378"/>
      <c r="J59" s="378"/>
      <c r="K59" s="378"/>
      <c r="L59" s="378"/>
      <c r="M59" s="378"/>
    </row>
    <row r="60" spans="2:13" x14ac:dyDescent="0.25">
      <c r="B60" s="379" t="s">
        <v>486</v>
      </c>
      <c r="C60" s="378">
        <f>C59*365</f>
        <v>0</v>
      </c>
      <c r="D60" s="378">
        <f t="shared" ref="D60" si="35">D59*365</f>
        <v>0</v>
      </c>
      <c r="E60" s="378">
        <f t="shared" ref="E60" si="36">E59*365</f>
        <v>0</v>
      </c>
      <c r="F60" s="378">
        <f t="shared" ref="F60" si="37">F59*365</f>
        <v>0</v>
      </c>
      <c r="G60" s="41"/>
      <c r="H60" s="378">
        <f t="shared" ref="H60" si="38">H59*365</f>
        <v>0</v>
      </c>
      <c r="I60" s="378">
        <f t="shared" ref="I60" si="39">I59*365</f>
        <v>0</v>
      </c>
      <c r="J60" s="378">
        <f t="shared" ref="J60" si="40">J59*365</f>
        <v>0</v>
      </c>
      <c r="K60" s="378">
        <f t="shared" ref="K60" si="41">K59*365</f>
        <v>0</v>
      </c>
      <c r="L60" s="378">
        <f t="shared" ref="L60" si="42">L59*365</f>
        <v>0</v>
      </c>
      <c r="M60" s="378">
        <f t="shared" ref="M60" si="43">M59*365</f>
        <v>0</v>
      </c>
    </row>
    <row r="61" spans="2:13" x14ac:dyDescent="0.25">
      <c r="B61" s="11"/>
      <c r="C61" s="378"/>
      <c r="D61" s="378"/>
      <c r="E61" s="378"/>
      <c r="F61" s="378"/>
      <c r="G61" s="41"/>
      <c r="H61" s="378"/>
      <c r="I61" s="378"/>
      <c r="J61" s="378"/>
      <c r="K61" s="378"/>
      <c r="L61" s="378"/>
      <c r="M61" s="378"/>
    </row>
    <row r="62" spans="2:13" x14ac:dyDescent="0.25">
      <c r="B62" s="24" t="s">
        <v>487</v>
      </c>
      <c r="C62" s="44"/>
      <c r="D62" s="44"/>
      <c r="E62" s="44"/>
      <c r="F62" s="44"/>
    </row>
    <row r="63" spans="2:13" x14ac:dyDescent="0.25">
      <c r="B63" t="s">
        <v>478</v>
      </c>
      <c r="C63" s="377"/>
      <c r="D63" s="377">
        <f>C65</f>
        <v>0</v>
      </c>
      <c r="E63" s="377">
        <f t="shared" ref="E63:F63" si="44">D65</f>
        <v>0</v>
      </c>
      <c r="F63" s="377">
        <f t="shared" si="44"/>
        <v>0</v>
      </c>
      <c r="H63" s="377">
        <f>F65</f>
        <v>0</v>
      </c>
      <c r="I63" s="377">
        <f>H65</f>
        <v>0</v>
      </c>
      <c r="J63" s="377">
        <f t="shared" ref="J63:M63" si="45">I65</f>
        <v>0</v>
      </c>
      <c r="K63" s="377">
        <f t="shared" si="45"/>
        <v>0</v>
      </c>
      <c r="L63" s="377">
        <f t="shared" si="45"/>
        <v>0</v>
      </c>
      <c r="M63" s="377">
        <f t="shared" si="45"/>
        <v>0</v>
      </c>
    </row>
    <row r="64" spans="2:13" x14ac:dyDescent="0.25">
      <c r="B64" t="s">
        <v>480</v>
      </c>
      <c r="C64" s="377"/>
      <c r="D64" s="377"/>
      <c r="E64" s="377"/>
      <c r="F64" s="377"/>
      <c r="H64" s="155"/>
      <c r="I64" s="155"/>
      <c r="J64" s="155"/>
      <c r="K64" s="155"/>
      <c r="L64" s="155"/>
      <c r="M64" s="155"/>
    </row>
    <row r="65" spans="2:13" x14ac:dyDescent="0.25">
      <c r="B65" s="11" t="s">
        <v>479</v>
      </c>
      <c r="C65" s="378">
        <f>C63+C64</f>
        <v>0</v>
      </c>
      <c r="D65" s="378">
        <f t="shared" ref="D65" si="46">D63+D64</f>
        <v>0</v>
      </c>
      <c r="E65" s="378">
        <f t="shared" ref="E65" si="47">E63+E64</f>
        <v>0</v>
      </c>
      <c r="F65" s="378">
        <f t="shared" ref="F65" si="48">F63+F64</f>
        <v>0</v>
      </c>
      <c r="G65" s="41"/>
      <c r="H65" s="378">
        <f t="shared" ref="H65" si="49">H63+H64</f>
        <v>0</v>
      </c>
      <c r="I65" s="378">
        <f t="shared" ref="I65" si="50">I63+I64</f>
        <v>0</v>
      </c>
      <c r="J65" s="378">
        <f t="shared" ref="J65" si="51">J63+J64</f>
        <v>0</v>
      </c>
      <c r="K65" s="378">
        <f t="shared" ref="K65" si="52">K63+K64</f>
        <v>0</v>
      </c>
      <c r="L65" s="378">
        <f t="shared" ref="L65" si="53">L63+L64</f>
        <v>0</v>
      </c>
      <c r="M65" s="378">
        <f t="shared" ref="M65" si="54">M63+M64</f>
        <v>0</v>
      </c>
    </row>
    <row r="66" spans="2:13" x14ac:dyDescent="0.25">
      <c r="B66" s="11"/>
      <c r="C66" s="378"/>
      <c r="D66" s="378"/>
      <c r="E66" s="378"/>
      <c r="F66" s="378"/>
      <c r="G66" s="41"/>
      <c r="H66" s="378"/>
      <c r="I66" s="378"/>
      <c r="J66" s="378"/>
      <c r="K66" s="378"/>
      <c r="L66" s="378"/>
      <c r="M66" s="378"/>
    </row>
    <row r="67" spans="2:13" x14ac:dyDescent="0.25">
      <c r="B67" s="379" t="s">
        <v>488</v>
      </c>
      <c r="C67" s="378"/>
      <c r="D67" s="378"/>
      <c r="E67" s="378"/>
      <c r="F67" s="378"/>
      <c r="G67" s="41"/>
      <c r="H67" s="378"/>
      <c r="I67" s="378"/>
      <c r="J67" s="378"/>
      <c r="K67" s="378"/>
      <c r="L67" s="378"/>
      <c r="M67" s="378"/>
    </row>
    <row r="68" spans="2:13" x14ac:dyDescent="0.25">
      <c r="C68" s="44"/>
      <c r="D68" s="44"/>
      <c r="E68" s="44"/>
      <c r="F68" s="44"/>
    </row>
    <row r="69" spans="2:13" x14ac:dyDescent="0.25">
      <c r="B69" s="24" t="s">
        <v>468</v>
      </c>
      <c r="C69" s="44"/>
      <c r="D69" s="44"/>
      <c r="E69" s="44"/>
      <c r="F69" s="44"/>
    </row>
    <row r="70" spans="2:13" x14ac:dyDescent="0.25">
      <c r="B70" t="s">
        <v>478</v>
      </c>
      <c r="C70" s="377"/>
      <c r="D70" s="377">
        <f>C72</f>
        <v>0</v>
      </c>
      <c r="E70" s="377">
        <f t="shared" ref="E70:F70" si="55">D72</f>
        <v>0</v>
      </c>
      <c r="F70" s="377">
        <f t="shared" si="55"/>
        <v>0</v>
      </c>
      <c r="H70" s="377">
        <f>F72</f>
        <v>0</v>
      </c>
      <c r="I70" s="377">
        <f>H72</f>
        <v>0</v>
      </c>
      <c r="J70" s="377">
        <f t="shared" ref="J70:M70" si="56">I72</f>
        <v>0</v>
      </c>
      <c r="K70" s="377">
        <f t="shared" si="56"/>
        <v>0</v>
      </c>
      <c r="L70" s="377">
        <f t="shared" si="56"/>
        <v>0</v>
      </c>
      <c r="M70" s="377">
        <f t="shared" si="56"/>
        <v>0</v>
      </c>
    </row>
    <row r="71" spans="2:13" x14ac:dyDescent="0.25">
      <c r="B71" t="s">
        <v>480</v>
      </c>
      <c r="C71" s="377"/>
      <c r="D71" s="377"/>
      <c r="E71" s="377"/>
      <c r="F71" s="377"/>
      <c r="H71" s="155"/>
      <c r="I71" s="155"/>
      <c r="J71" s="155"/>
      <c r="K71" s="155"/>
      <c r="L71" s="155"/>
      <c r="M71" s="155"/>
    </row>
    <row r="72" spans="2:13" x14ac:dyDescent="0.25">
      <c r="B72" s="11" t="s">
        <v>479</v>
      </c>
      <c r="C72" s="378">
        <f>C70+C71</f>
        <v>0</v>
      </c>
      <c r="D72" s="378">
        <f t="shared" ref="D72" si="57">D70+D71</f>
        <v>0</v>
      </c>
      <c r="E72" s="378">
        <f t="shared" ref="E72" si="58">E70+E71</f>
        <v>0</v>
      </c>
      <c r="F72" s="378">
        <f t="shared" ref="F72" si="59">F70+F71</f>
        <v>0</v>
      </c>
      <c r="G72" s="41"/>
      <c r="H72" s="378">
        <f t="shared" ref="H72" si="60">H70+H71</f>
        <v>0</v>
      </c>
      <c r="I72" s="378">
        <f t="shared" ref="I72" si="61">I70+I71</f>
        <v>0</v>
      </c>
      <c r="J72" s="378">
        <f t="shared" ref="J72" si="62">J70+J71</f>
        <v>0</v>
      </c>
      <c r="K72" s="378">
        <f t="shared" ref="K72" si="63">K70+K71</f>
        <v>0</v>
      </c>
      <c r="L72" s="378">
        <f t="shared" ref="L72" si="64">L70+L71</f>
        <v>0</v>
      </c>
      <c r="M72" s="378">
        <f t="shared" ref="M72" si="65">M70+M71</f>
        <v>0</v>
      </c>
    </row>
    <row r="73" spans="2:13" x14ac:dyDescent="0.25">
      <c r="B73" s="11"/>
      <c r="C73" s="378"/>
      <c r="D73" s="378"/>
      <c r="E73" s="378"/>
      <c r="F73" s="378"/>
      <c r="G73" s="41"/>
      <c r="H73" s="378"/>
      <c r="I73" s="378"/>
      <c r="J73" s="378"/>
      <c r="K73" s="378"/>
      <c r="L73" s="378"/>
      <c r="M73" s="378"/>
    </row>
    <row r="74" spans="2:13" x14ac:dyDescent="0.25">
      <c r="B74" s="379" t="s">
        <v>489</v>
      </c>
      <c r="C74" s="378"/>
      <c r="D74" s="378"/>
      <c r="E74" s="378"/>
      <c r="F74" s="378"/>
      <c r="G74" s="41"/>
      <c r="H74" s="378"/>
      <c r="I74" s="378"/>
      <c r="J74" s="378"/>
      <c r="K74" s="378"/>
      <c r="L74" s="378"/>
      <c r="M74" s="378"/>
    </row>
    <row r="75" spans="2:13" x14ac:dyDescent="0.25">
      <c r="C75" s="44"/>
      <c r="D75" s="44"/>
      <c r="E75" s="44"/>
      <c r="F75" s="44"/>
    </row>
    <row r="76" spans="2:13" x14ac:dyDescent="0.25">
      <c r="C76" s="44"/>
      <c r="D76" s="44"/>
      <c r="E76" s="44"/>
      <c r="F76" s="44"/>
    </row>
    <row r="77" spans="2:13" x14ac:dyDescent="0.25">
      <c r="C77" s="44"/>
      <c r="D77" s="44"/>
      <c r="E77" s="44"/>
      <c r="F77" s="44"/>
    </row>
    <row r="78" spans="2:13" x14ac:dyDescent="0.25">
      <c r="C78" s="44"/>
      <c r="D78" s="44"/>
      <c r="E78" s="44"/>
      <c r="F78" s="44"/>
    </row>
    <row r="79" spans="2:13" x14ac:dyDescent="0.25">
      <c r="C79" s="44"/>
      <c r="D79" s="44"/>
      <c r="E79" s="44"/>
      <c r="F79" s="44"/>
    </row>
    <row r="80" spans="2:13" x14ac:dyDescent="0.25">
      <c r="C80" s="44"/>
      <c r="D80" s="44"/>
      <c r="E80" s="44"/>
      <c r="F80" s="44"/>
    </row>
    <row r="81" spans="3:6" x14ac:dyDescent="0.25">
      <c r="C81" s="44"/>
      <c r="D81" s="44"/>
      <c r="E81" s="44"/>
      <c r="F81" s="44"/>
    </row>
    <row r="82" spans="3:6" x14ac:dyDescent="0.25">
      <c r="C82" s="44"/>
      <c r="D82" s="44"/>
      <c r="E82" s="44"/>
      <c r="F82" s="44"/>
    </row>
    <row r="83" spans="3:6" x14ac:dyDescent="0.25">
      <c r="C83" s="44"/>
      <c r="D83" s="44"/>
      <c r="E83" s="44"/>
      <c r="F83" s="44"/>
    </row>
    <row r="84" spans="3:6" x14ac:dyDescent="0.25">
      <c r="C84" s="44"/>
      <c r="D84" s="44"/>
      <c r="E84" s="44"/>
      <c r="F84" s="44"/>
    </row>
    <row r="85" spans="3:6" x14ac:dyDescent="0.25">
      <c r="C85" s="44"/>
      <c r="D85" s="44"/>
      <c r="E85" s="44"/>
      <c r="F85" s="44"/>
    </row>
    <row r="86" spans="3:6" x14ac:dyDescent="0.25">
      <c r="C86" s="44"/>
      <c r="D86" s="44"/>
      <c r="E86" s="44"/>
      <c r="F86" s="44"/>
    </row>
    <row r="87" spans="3:6" x14ac:dyDescent="0.25">
      <c r="C87" s="44"/>
      <c r="D87" s="44"/>
      <c r="E87" s="44"/>
      <c r="F87" s="44"/>
    </row>
    <row r="88" spans="3:6" x14ac:dyDescent="0.25">
      <c r="C88" s="44"/>
      <c r="D88" s="44"/>
      <c r="E88" s="44"/>
      <c r="F88" s="44"/>
    </row>
    <row r="89" spans="3:6" x14ac:dyDescent="0.25">
      <c r="C89" s="44"/>
      <c r="D89" s="44"/>
      <c r="E89" s="44"/>
      <c r="F89" s="44"/>
    </row>
    <row r="90" spans="3:6" x14ac:dyDescent="0.25">
      <c r="C90" s="44"/>
      <c r="D90" s="44"/>
      <c r="E90" s="44"/>
      <c r="F90" s="44"/>
    </row>
    <row r="91" spans="3:6" x14ac:dyDescent="0.25">
      <c r="C91" s="44"/>
      <c r="D91" s="44"/>
      <c r="E91" s="44"/>
      <c r="F91" s="44"/>
    </row>
    <row r="92" spans="3:6" x14ac:dyDescent="0.25">
      <c r="C92" s="44"/>
      <c r="D92" s="44"/>
      <c r="E92" s="44"/>
      <c r="F92" s="44"/>
    </row>
    <row r="93" spans="3:6" x14ac:dyDescent="0.25">
      <c r="C93" s="44"/>
      <c r="D93" s="44"/>
      <c r="E93" s="44"/>
      <c r="F93" s="44"/>
    </row>
    <row r="94" spans="3:6" x14ac:dyDescent="0.25">
      <c r="C94" s="44"/>
      <c r="D94" s="44"/>
      <c r="E94" s="44"/>
      <c r="F94" s="44"/>
    </row>
    <row r="95" spans="3:6" x14ac:dyDescent="0.25">
      <c r="C95" s="44"/>
      <c r="D95" s="44"/>
      <c r="E95" s="44"/>
      <c r="F95" s="44"/>
    </row>
    <row r="96" spans="3:6" x14ac:dyDescent="0.25">
      <c r="C96" s="44"/>
      <c r="D96" s="44"/>
      <c r="E96" s="44"/>
      <c r="F96" s="44"/>
    </row>
    <row r="97" spans="3:6" x14ac:dyDescent="0.25">
      <c r="C97" s="44"/>
      <c r="D97" s="44"/>
      <c r="E97" s="44"/>
      <c r="F97" s="44"/>
    </row>
  </sheetData>
  <pageMargins left="0.7" right="0.7" top="0.75" bottom="0.75" header="0.3" footer="0.3"/>
  <pageSetup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1CBC8-68DF-4E46-9EE5-973AA4C4E040}">
  <dimension ref="B2:E17"/>
  <sheetViews>
    <sheetView showGridLines="0" view="pageBreakPreview" zoomScale="175" zoomScaleNormal="100" zoomScaleSheetLayoutView="175" workbookViewId="0"/>
  </sheetViews>
  <sheetFormatPr defaultRowHeight="15" x14ac:dyDescent="0.25"/>
  <cols>
    <col min="1" max="1" width="4.5703125" customWidth="1"/>
    <col min="2" max="2" width="22.28515625" bestFit="1" customWidth="1"/>
  </cols>
  <sheetData>
    <row r="2" spans="2:5" x14ac:dyDescent="0.25">
      <c r="B2" s="375" t="s">
        <v>474</v>
      </c>
    </row>
    <row r="4" spans="2:5" x14ac:dyDescent="0.25">
      <c r="B4" s="7" t="s">
        <v>428</v>
      </c>
      <c r="C4" s="7"/>
      <c r="D4" s="7"/>
      <c r="E4" s="7"/>
    </row>
    <row r="5" spans="2:5" x14ac:dyDescent="0.25">
      <c r="B5" s="11"/>
      <c r="C5" s="11"/>
      <c r="D5" s="11"/>
      <c r="E5" s="11"/>
    </row>
    <row r="6" spans="2:5" x14ac:dyDescent="0.25">
      <c r="B6" s="29" t="s">
        <v>435</v>
      </c>
      <c r="C6" s="357" t="s">
        <v>432</v>
      </c>
      <c r="D6" s="357" t="s">
        <v>433</v>
      </c>
      <c r="E6" s="357" t="s">
        <v>434</v>
      </c>
    </row>
    <row r="7" spans="2:5" x14ac:dyDescent="0.25">
      <c r="B7" t="s">
        <v>429</v>
      </c>
      <c r="C7">
        <v>0</v>
      </c>
    </row>
    <row r="8" spans="2:5" x14ac:dyDescent="0.25">
      <c r="B8" t="s">
        <v>430</v>
      </c>
    </row>
    <row r="9" spans="2:5" x14ac:dyDescent="0.25">
      <c r="B9" s="12" t="s">
        <v>431</v>
      </c>
      <c r="C9" s="12">
        <f>SUM(C7:C8)</f>
        <v>0</v>
      </c>
      <c r="D9" s="12"/>
      <c r="E9" s="12"/>
    </row>
    <row r="11" spans="2:5" x14ac:dyDescent="0.25">
      <c r="B11" s="29" t="s">
        <v>436</v>
      </c>
      <c r="C11" s="357" t="s">
        <v>432</v>
      </c>
      <c r="D11" s="357" t="s">
        <v>433</v>
      </c>
      <c r="E11" s="357" t="s">
        <v>434</v>
      </c>
    </row>
    <row r="12" spans="2:5" x14ac:dyDescent="0.25">
      <c r="B12" t="s">
        <v>437</v>
      </c>
      <c r="C12">
        <v>0</v>
      </c>
    </row>
    <row r="13" spans="2:5" x14ac:dyDescent="0.25">
      <c r="B13" t="s">
        <v>438</v>
      </c>
    </row>
    <row r="14" spans="2:5" x14ac:dyDescent="0.25">
      <c r="B14" t="s">
        <v>439</v>
      </c>
    </row>
    <row r="15" spans="2:5" x14ac:dyDescent="0.25">
      <c r="B15" t="s">
        <v>440</v>
      </c>
    </row>
    <row r="16" spans="2:5" x14ac:dyDescent="0.25">
      <c r="B16" t="s">
        <v>441</v>
      </c>
    </row>
    <row r="17" spans="2:5" x14ac:dyDescent="0.25">
      <c r="B17" s="12" t="s">
        <v>442</v>
      </c>
      <c r="C17" s="12"/>
      <c r="D17" s="12"/>
      <c r="E17" s="1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57F4E-6E87-4AAB-903F-46A61A01674B}">
  <dimension ref="B3"/>
  <sheetViews>
    <sheetView workbookViewId="0"/>
  </sheetViews>
  <sheetFormatPr defaultRowHeight="15" x14ac:dyDescent="0.25"/>
  <sheetData>
    <row r="3" spans="2:2" x14ac:dyDescent="0.25">
      <c r="B3" s="375" t="s">
        <v>490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BD4FB-519F-4816-9884-6A6B0C245C64}">
  <sheetPr>
    <tabColor theme="2"/>
  </sheetPr>
  <dimension ref="B1:I19"/>
  <sheetViews>
    <sheetView zoomScaleNormal="100" workbookViewId="0"/>
  </sheetViews>
  <sheetFormatPr defaultColWidth="8.7109375" defaultRowHeight="15" x14ac:dyDescent="0.25"/>
  <cols>
    <col min="1" max="1" width="1.42578125" customWidth="1"/>
    <col min="2" max="2" width="43.42578125" bestFit="1" customWidth="1"/>
    <col min="3" max="3" width="8.42578125" bestFit="1" customWidth="1"/>
    <col min="4" max="9" width="9.42578125" customWidth="1"/>
  </cols>
  <sheetData>
    <row r="1" spans="2:9" ht="15.75" thickBot="1" x14ac:dyDescent="0.3"/>
    <row r="2" spans="2:9" ht="15.75" thickBot="1" x14ac:dyDescent="0.3">
      <c r="B2" s="47" t="s">
        <v>70</v>
      </c>
      <c r="C2" s="48"/>
      <c r="D2" s="48"/>
      <c r="E2" s="48"/>
      <c r="F2" s="48"/>
      <c r="G2" s="48"/>
      <c r="H2" s="48"/>
      <c r="I2" s="48"/>
    </row>
    <row r="3" spans="2:9" x14ac:dyDescent="0.25">
      <c r="B3" s="49" t="s">
        <v>71</v>
      </c>
    </row>
    <row r="5" spans="2:9" ht="17.25" x14ac:dyDescent="0.4">
      <c r="D5" s="50" t="s">
        <v>72</v>
      </c>
      <c r="E5" s="50" t="s">
        <v>1</v>
      </c>
      <c r="F5" s="50"/>
      <c r="G5" s="50"/>
      <c r="H5" s="50"/>
      <c r="I5" s="50"/>
    </row>
    <row r="6" spans="2:9" x14ac:dyDescent="0.25">
      <c r="B6" t="s">
        <v>73</v>
      </c>
      <c r="D6" s="51">
        <v>2019</v>
      </c>
      <c r="E6" s="51">
        <f>D6+1</f>
        <v>2020</v>
      </c>
      <c r="F6" s="51">
        <f t="shared" ref="F6:I6" si="0">E6+1</f>
        <v>2021</v>
      </c>
      <c r="G6" s="51">
        <f t="shared" si="0"/>
        <v>2022</v>
      </c>
      <c r="H6" s="51">
        <f t="shared" si="0"/>
        <v>2023</v>
      </c>
      <c r="I6" s="51">
        <f t="shared" si="0"/>
        <v>2024</v>
      </c>
    </row>
    <row r="7" spans="2:9" x14ac:dyDescent="0.25">
      <c r="D7" s="11"/>
      <c r="E7" s="11"/>
      <c r="F7" s="11"/>
      <c r="G7" s="11"/>
      <c r="H7" s="11"/>
      <c r="I7" s="11"/>
    </row>
    <row r="8" spans="2:9" x14ac:dyDescent="0.25">
      <c r="B8" s="11" t="s">
        <v>74</v>
      </c>
      <c r="C8" s="11"/>
      <c r="D8" s="52">
        <v>260174</v>
      </c>
      <c r="E8" s="53">
        <f>D8*(1+E9)</f>
        <v>280987.92000000004</v>
      </c>
      <c r="F8" s="53">
        <f t="shared" ref="F8:I8" si="1">E8*(1+F9)</f>
        <v>306276.83280000009</v>
      </c>
      <c r="G8" s="53">
        <f t="shared" si="1"/>
        <v>324653.44276800012</v>
      </c>
      <c r="H8" s="53">
        <f t="shared" si="1"/>
        <v>344132.64933408017</v>
      </c>
      <c r="I8" s="53">
        <f t="shared" si="1"/>
        <v>364780.60829412501</v>
      </c>
    </row>
    <row r="9" spans="2:9" x14ac:dyDescent="0.25">
      <c r="B9" s="54" t="s">
        <v>75</v>
      </c>
      <c r="C9" s="54"/>
      <c r="E9" s="55">
        <v>0.08</v>
      </c>
      <c r="F9" s="55">
        <v>0.09</v>
      </c>
      <c r="G9" s="55">
        <v>0.06</v>
      </c>
      <c r="H9" s="55">
        <v>0.06</v>
      </c>
      <c r="I9" s="55">
        <v>0.06</v>
      </c>
    </row>
    <row r="10" spans="2:9" x14ac:dyDescent="0.25">
      <c r="B10" s="11" t="s">
        <v>76</v>
      </c>
      <c r="C10" s="11"/>
      <c r="D10" s="52">
        <v>76477</v>
      </c>
      <c r="E10" s="53">
        <f>E11*E$8</f>
        <v>81486.496800000008</v>
      </c>
      <c r="F10" s="53">
        <f t="shared" ref="F10:I10" si="2">F11*F$8</f>
        <v>88820.281512000016</v>
      </c>
      <c r="G10" s="53">
        <f t="shared" si="2"/>
        <v>92526.231188880032</v>
      </c>
      <c r="H10" s="53">
        <f t="shared" si="2"/>
        <v>98077.805060212835</v>
      </c>
      <c r="I10" s="53">
        <f t="shared" si="2"/>
        <v>102138.57032235501</v>
      </c>
    </row>
    <row r="11" spans="2:9" x14ac:dyDescent="0.25">
      <c r="B11" s="54" t="s">
        <v>77</v>
      </c>
      <c r="C11" s="54"/>
      <c r="E11" s="55">
        <v>0.28999999999999998</v>
      </c>
      <c r="F11" s="55">
        <v>0.28999999999999998</v>
      </c>
      <c r="G11" s="55">
        <v>0.28499999999999998</v>
      </c>
      <c r="H11" s="55">
        <v>0.28499999999999998</v>
      </c>
      <c r="I11" s="55">
        <v>0.28000000000000003</v>
      </c>
    </row>
    <row r="12" spans="2:9" x14ac:dyDescent="0.25">
      <c r="B12" s="11" t="s">
        <v>78</v>
      </c>
      <c r="C12" s="11"/>
      <c r="D12" s="52">
        <v>63930</v>
      </c>
      <c r="E12" s="53">
        <f>E13*E$8</f>
        <v>69123.028320000012</v>
      </c>
      <c r="F12" s="53">
        <f t="shared" ref="F12:I12" si="3">F13*F$8</f>
        <v>76569.208200000023</v>
      </c>
      <c r="G12" s="53">
        <f t="shared" si="3"/>
        <v>81163.360692000031</v>
      </c>
      <c r="H12" s="53">
        <f t="shared" si="3"/>
        <v>87753.825580190445</v>
      </c>
      <c r="I12" s="53">
        <f t="shared" si="3"/>
        <v>91195.152073531252</v>
      </c>
    </row>
    <row r="13" spans="2:9" x14ac:dyDescent="0.25">
      <c r="B13" s="54" t="s">
        <v>77</v>
      </c>
      <c r="C13" s="54"/>
      <c r="E13" s="55">
        <v>0.246</v>
      </c>
      <c r="F13" s="55">
        <v>0.25</v>
      </c>
      <c r="G13" s="55">
        <v>0.25</v>
      </c>
      <c r="H13" s="55">
        <v>0.255</v>
      </c>
      <c r="I13" s="55">
        <v>0.25</v>
      </c>
    </row>
    <row r="14" spans="2:9" x14ac:dyDescent="0.25">
      <c r="E14" s="56"/>
      <c r="F14" s="56"/>
      <c r="G14" s="56"/>
      <c r="H14" s="56"/>
      <c r="I14" s="56"/>
    </row>
    <row r="15" spans="2:9" x14ac:dyDescent="0.25">
      <c r="B15" t="s">
        <v>79</v>
      </c>
      <c r="E15" s="57">
        <v>0.158</v>
      </c>
      <c r="F15" s="57">
        <v>0.16600000000000001</v>
      </c>
      <c r="G15" s="57">
        <v>0.16700000000000001</v>
      </c>
      <c r="H15" s="57">
        <v>0.17299999999999999</v>
      </c>
      <c r="I15" s="57">
        <v>0.17299999999999999</v>
      </c>
    </row>
    <row r="16" spans="2:9" x14ac:dyDescent="0.25">
      <c r="B16" t="s">
        <v>80</v>
      </c>
      <c r="E16" s="55">
        <f>D16</f>
        <v>0</v>
      </c>
      <c r="F16" s="55">
        <v>3.9E-2</v>
      </c>
      <c r="G16" s="55">
        <v>3.7999999999999999E-2</v>
      </c>
      <c r="H16" s="55">
        <v>3.6999999999999998E-2</v>
      </c>
      <c r="I16" s="55">
        <v>3.5999999999999997E-2</v>
      </c>
    </row>
    <row r="18" spans="2:9" x14ac:dyDescent="0.25">
      <c r="B18" t="s">
        <v>81</v>
      </c>
      <c r="D18" s="58">
        <f>22926+4106+22878+12352-46236-37720-5522</f>
        <v>-27216</v>
      </c>
    </row>
    <row r="19" spans="2:9" x14ac:dyDescent="0.25">
      <c r="B19" s="54" t="s">
        <v>82</v>
      </c>
      <c r="D19" s="59">
        <f>D18/D8</f>
        <v>-0.10460691690945291</v>
      </c>
      <c r="E19" s="55">
        <f>D19</f>
        <v>-0.10460691690945291</v>
      </c>
      <c r="F19" s="55">
        <f t="shared" ref="F19:I19" si="4">E19</f>
        <v>-0.10460691690945291</v>
      </c>
      <c r="G19" s="55">
        <f t="shared" si="4"/>
        <v>-0.10460691690945291</v>
      </c>
      <c r="H19" s="55">
        <f t="shared" si="4"/>
        <v>-0.10460691690945291</v>
      </c>
      <c r="I19" s="55">
        <f t="shared" si="4"/>
        <v>-0.10460691690945291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B431F-80CC-4A41-BD93-08D6EE971010}">
  <sheetPr>
    <tabColor theme="9"/>
  </sheetPr>
  <dimension ref="B1:Q126"/>
  <sheetViews>
    <sheetView zoomScaleNormal="100" workbookViewId="0"/>
  </sheetViews>
  <sheetFormatPr defaultColWidth="9.140625" defaultRowHeight="15" x14ac:dyDescent="0.25"/>
  <cols>
    <col min="1" max="1" width="1.42578125" customWidth="1"/>
    <col min="2" max="2" width="54.42578125" customWidth="1"/>
    <col min="3" max="3" width="13.42578125" customWidth="1"/>
    <col min="4" max="9" width="12.7109375" customWidth="1"/>
    <col min="10" max="10" width="1.7109375" customWidth="1"/>
    <col min="11" max="11" width="43" customWidth="1"/>
    <col min="12" max="16" width="9.42578125" customWidth="1"/>
  </cols>
  <sheetData>
    <row r="1" spans="2:11" ht="15.75" thickBot="1" x14ac:dyDescent="0.3"/>
    <row r="2" spans="2:11" ht="15.75" thickBot="1" x14ac:dyDescent="0.3">
      <c r="B2" s="60" t="s">
        <v>83</v>
      </c>
      <c r="C2" s="48"/>
      <c r="D2" s="48"/>
      <c r="E2" s="48"/>
      <c r="F2" s="48"/>
      <c r="G2" s="48"/>
      <c r="H2" s="48"/>
      <c r="I2" s="48"/>
    </row>
    <row r="3" spans="2:11" ht="15" customHeight="1" x14ac:dyDescent="0.25">
      <c r="B3" s="61" t="str">
        <f>'Financials '!$B$3</f>
        <v xml:space="preserve">$ and shares in millions, except per share data </v>
      </c>
    </row>
    <row r="4" spans="2:11" ht="15" customHeight="1" x14ac:dyDescent="0.25">
      <c r="B4" t="s">
        <v>84</v>
      </c>
      <c r="D4" s="62">
        <v>43736</v>
      </c>
      <c r="F4" t="s">
        <v>85</v>
      </c>
      <c r="H4" s="63">
        <v>0.09</v>
      </c>
    </row>
    <row r="5" spans="2:11" x14ac:dyDescent="0.25">
      <c r="B5" t="s">
        <v>86</v>
      </c>
      <c r="D5" s="64"/>
      <c r="F5" t="s">
        <v>87</v>
      </c>
      <c r="H5" s="65">
        <v>273.52</v>
      </c>
    </row>
    <row r="6" spans="2:11" x14ac:dyDescent="0.25">
      <c r="B6" t="s">
        <v>88</v>
      </c>
      <c r="D6" s="62">
        <v>43827</v>
      </c>
      <c r="F6" t="s">
        <v>89</v>
      </c>
      <c r="H6" s="66">
        <v>43888</v>
      </c>
      <c r="J6" s="67"/>
    </row>
    <row r="7" spans="2:11" x14ac:dyDescent="0.25">
      <c r="B7" t="s">
        <v>90</v>
      </c>
      <c r="D7" s="62">
        <v>43889</v>
      </c>
      <c r="F7" t="s">
        <v>91</v>
      </c>
      <c r="H7" s="68">
        <v>0</v>
      </c>
      <c r="I7" s="67"/>
      <c r="J7" s="67"/>
    </row>
    <row r="8" spans="2:11" x14ac:dyDescent="0.25">
      <c r="B8" t="s">
        <v>92</v>
      </c>
      <c r="D8" s="69"/>
    </row>
    <row r="9" spans="2:11" x14ac:dyDescent="0.25">
      <c r="D9" s="70"/>
    </row>
    <row r="10" spans="2:11" x14ac:dyDescent="0.25">
      <c r="B10" s="51" t="s">
        <v>93</v>
      </c>
      <c r="C10" s="71"/>
      <c r="D10" s="72"/>
      <c r="F10" s="71"/>
      <c r="G10" s="71"/>
      <c r="H10" s="71"/>
      <c r="I10" s="71"/>
    </row>
    <row r="11" spans="2:11" ht="17.25" customHeight="1" x14ac:dyDescent="0.4">
      <c r="C11" s="50"/>
      <c r="D11" s="50" t="s">
        <v>72</v>
      </c>
      <c r="E11" s="73" t="s">
        <v>94</v>
      </c>
      <c r="F11" s="50"/>
      <c r="G11" s="50"/>
      <c r="H11" s="50"/>
      <c r="I11" s="50"/>
    </row>
    <row r="12" spans="2:11" x14ac:dyDescent="0.25">
      <c r="B12" s="24" t="s">
        <v>95</v>
      </c>
      <c r="C12" s="74"/>
      <c r="D12" s="75">
        <f>D4</f>
        <v>43736</v>
      </c>
      <c r="E12" s="76">
        <f>EOMONTH(D12,12)</f>
        <v>44104</v>
      </c>
      <c r="F12" s="76">
        <f t="shared" ref="F12:I12" si="0">EOMONTH(E12,12)</f>
        <v>44469</v>
      </c>
      <c r="G12" s="76">
        <f t="shared" si="0"/>
        <v>44834</v>
      </c>
      <c r="H12" s="76">
        <f t="shared" si="0"/>
        <v>45199</v>
      </c>
      <c r="I12" s="76">
        <f t="shared" si="0"/>
        <v>45565</v>
      </c>
    </row>
    <row r="13" spans="2:11" x14ac:dyDescent="0.25">
      <c r="B13" s="24"/>
      <c r="D13" s="77"/>
      <c r="E13" s="78"/>
      <c r="F13" s="78"/>
      <c r="G13" s="78"/>
      <c r="H13" s="78"/>
      <c r="I13" s="78"/>
    </row>
    <row r="14" spans="2:11" x14ac:dyDescent="0.25">
      <c r="B14" t="s">
        <v>2</v>
      </c>
      <c r="C14" s="79"/>
      <c r="D14" s="80">
        <v>260174</v>
      </c>
      <c r="E14" s="81"/>
      <c r="F14" s="81"/>
      <c r="G14" s="81"/>
      <c r="H14" s="81"/>
      <c r="I14" s="81"/>
      <c r="K14" t="s">
        <v>96</v>
      </c>
    </row>
    <row r="15" spans="2:11" x14ac:dyDescent="0.25">
      <c r="B15" s="54" t="s">
        <v>97</v>
      </c>
      <c r="D15" s="82"/>
      <c r="E15" s="83">
        <v>0.08</v>
      </c>
      <c r="F15" s="83">
        <v>0.09</v>
      </c>
      <c r="G15" s="83">
        <v>0.06</v>
      </c>
      <c r="H15" s="83">
        <v>0.06</v>
      </c>
      <c r="I15" s="83">
        <v>0.06</v>
      </c>
      <c r="K15" s="55"/>
    </row>
    <row r="16" spans="2:11" x14ac:dyDescent="0.25">
      <c r="B16" t="s">
        <v>98</v>
      </c>
      <c r="C16" s="79"/>
      <c r="D16" s="84">
        <f>D18+D25</f>
        <v>76477</v>
      </c>
      <c r="E16" s="81"/>
      <c r="F16" s="81"/>
      <c r="G16" s="81"/>
      <c r="H16" s="81"/>
      <c r="I16" s="81"/>
      <c r="K16" t="s">
        <v>99</v>
      </c>
    </row>
    <row r="17" spans="2:13" x14ac:dyDescent="0.25">
      <c r="B17" s="54" t="s">
        <v>77</v>
      </c>
      <c r="D17" s="85">
        <f>D16/D14</f>
        <v>0.29394559025882677</v>
      </c>
      <c r="E17" s="83">
        <v>0.28999999999999998</v>
      </c>
      <c r="F17" s="83">
        <v>0.28999999999999998</v>
      </c>
      <c r="G17" s="83">
        <v>0.28499999999999998</v>
      </c>
      <c r="H17" s="83">
        <v>0.28499999999999998</v>
      </c>
      <c r="I17" s="83">
        <v>0.28000000000000003</v>
      </c>
    </row>
    <row r="18" spans="2:13" x14ac:dyDescent="0.25">
      <c r="B18" t="s">
        <v>78</v>
      </c>
      <c r="D18" s="80">
        <v>63930</v>
      </c>
      <c r="E18" s="81"/>
      <c r="F18" s="81"/>
      <c r="G18" s="81"/>
      <c r="H18" s="81"/>
      <c r="I18" s="81"/>
      <c r="K18" t="s">
        <v>100</v>
      </c>
    </row>
    <row r="19" spans="2:13" x14ac:dyDescent="0.25">
      <c r="B19" s="54" t="s">
        <v>77</v>
      </c>
      <c r="D19" s="85">
        <f>D18/D14</f>
        <v>0.24572017188496928</v>
      </c>
      <c r="E19" s="83">
        <v>0.246</v>
      </c>
      <c r="F19" s="83">
        <v>0.25</v>
      </c>
      <c r="G19" s="83">
        <v>0.25</v>
      </c>
      <c r="H19" s="83">
        <v>0.255</v>
      </c>
      <c r="I19" s="83">
        <v>0.25</v>
      </c>
    </row>
    <row r="20" spans="2:13" x14ac:dyDescent="0.25">
      <c r="B20" s="54"/>
      <c r="D20" s="86"/>
      <c r="E20" s="87"/>
      <c r="F20" s="87"/>
      <c r="G20" s="87"/>
      <c r="H20" s="87"/>
      <c r="I20" s="87"/>
    </row>
    <row r="21" spans="2:13" ht="15" customHeight="1" x14ac:dyDescent="0.25">
      <c r="B21" t="s">
        <v>101</v>
      </c>
      <c r="C21" s="79"/>
      <c r="D21" s="84">
        <f>D22*D18</f>
        <v>10164.870000000001</v>
      </c>
      <c r="E21" s="81"/>
      <c r="F21" s="81"/>
      <c r="G21" s="81"/>
      <c r="H21" s="81"/>
      <c r="I21" s="81"/>
      <c r="K21" t="s">
        <v>102</v>
      </c>
    </row>
    <row r="22" spans="2:13" ht="15" customHeight="1" x14ac:dyDescent="0.25">
      <c r="B22" s="54" t="s">
        <v>79</v>
      </c>
      <c r="D22" s="88">
        <v>0.159</v>
      </c>
      <c r="E22" s="63">
        <v>0.158</v>
      </c>
      <c r="F22" s="63">
        <v>0.16600000000000001</v>
      </c>
      <c r="G22" s="63">
        <v>0.16700000000000001</v>
      </c>
      <c r="H22" s="63">
        <v>0.17299999999999999</v>
      </c>
      <c r="I22" s="63">
        <v>0.17299999999999999</v>
      </c>
    </row>
    <row r="23" spans="2:13" ht="15" customHeight="1" x14ac:dyDescent="0.25">
      <c r="B23" s="11" t="s">
        <v>103</v>
      </c>
      <c r="C23" s="11"/>
      <c r="D23" s="89">
        <f>D18-D21</f>
        <v>53765.13</v>
      </c>
      <c r="E23" s="89"/>
      <c r="F23" s="90"/>
      <c r="G23" s="90"/>
      <c r="H23" s="90"/>
      <c r="I23" s="90"/>
      <c r="K23" t="s">
        <v>104</v>
      </c>
    </row>
    <row r="24" spans="2:13" x14ac:dyDescent="0.25">
      <c r="D24" s="91"/>
      <c r="E24" s="79"/>
      <c r="F24" s="79"/>
      <c r="G24" s="79"/>
      <c r="H24" s="79"/>
      <c r="I24" s="79"/>
    </row>
    <row r="25" spans="2:13" ht="15" customHeight="1" x14ac:dyDescent="0.25">
      <c r="B25" t="s">
        <v>105</v>
      </c>
      <c r="D25" s="80">
        <v>12547</v>
      </c>
      <c r="E25" s="81"/>
      <c r="F25" s="81"/>
      <c r="G25" s="81"/>
      <c r="H25" s="81"/>
      <c r="I25" s="81"/>
      <c r="K25" t="s">
        <v>106</v>
      </c>
      <c r="M25" s="92"/>
    </row>
    <row r="26" spans="2:13" ht="15" customHeight="1" x14ac:dyDescent="0.25">
      <c r="B26" t="s">
        <v>107</v>
      </c>
      <c r="D26" s="93">
        <f t="shared" ref="D26" si="1">C32-D32</f>
        <v>-2927</v>
      </c>
      <c r="E26" s="93"/>
      <c r="F26" s="81"/>
      <c r="G26" s="81"/>
      <c r="H26" s="81"/>
      <c r="I26" s="81"/>
      <c r="K26" t="s">
        <v>108</v>
      </c>
      <c r="M26" s="94"/>
    </row>
    <row r="27" spans="2:13" ht="15" customHeight="1" x14ac:dyDescent="0.25">
      <c r="B27" t="s">
        <v>109</v>
      </c>
      <c r="D27" s="80">
        <v>-10495</v>
      </c>
      <c r="E27" s="95"/>
      <c r="F27" s="95"/>
      <c r="G27" s="95"/>
      <c r="H27" s="95"/>
      <c r="I27" s="95"/>
      <c r="K27" t="s">
        <v>110</v>
      </c>
      <c r="M27" s="94"/>
    </row>
    <row r="28" spans="2:13" ht="15" customHeight="1" x14ac:dyDescent="0.25">
      <c r="B28" s="54" t="s">
        <v>82</v>
      </c>
      <c r="D28" s="96">
        <f>-(D27/D14)</f>
        <v>4.033838892433525E-2</v>
      </c>
      <c r="E28" s="83">
        <f>D28</f>
        <v>4.033838892433525E-2</v>
      </c>
      <c r="F28" s="83">
        <v>3.9E-2</v>
      </c>
      <c r="G28" s="83">
        <v>3.7999999999999999E-2</v>
      </c>
      <c r="H28" s="83">
        <v>3.6999999999999998E-2</v>
      </c>
      <c r="I28" s="83">
        <v>3.5999999999999997E-2</v>
      </c>
      <c r="M28" s="94"/>
    </row>
    <row r="29" spans="2:13" x14ac:dyDescent="0.25">
      <c r="D29" s="58"/>
      <c r="E29" s="97"/>
      <c r="F29" s="97"/>
      <c r="G29" s="97"/>
      <c r="H29" s="97"/>
      <c r="I29" s="97"/>
      <c r="M29" s="94"/>
    </row>
    <row r="30" spans="2:13" x14ac:dyDescent="0.25">
      <c r="B30" s="11" t="s">
        <v>111</v>
      </c>
      <c r="C30" s="11"/>
      <c r="D30" s="98"/>
      <c r="E30" s="90"/>
      <c r="F30" s="90"/>
      <c r="G30" s="90"/>
      <c r="H30" s="90"/>
      <c r="I30" s="90"/>
      <c r="K30" t="s">
        <v>112</v>
      </c>
      <c r="M30" s="98"/>
    </row>
    <row r="31" spans="2:13" x14ac:dyDescent="0.25">
      <c r="D31" s="87"/>
      <c r="M31" s="94"/>
    </row>
    <row r="32" spans="2:13" x14ac:dyDescent="0.25">
      <c r="B32" t="s">
        <v>81</v>
      </c>
      <c r="C32" s="99">
        <f>23186+3956+25809+12087-55888-33327-5966</f>
        <v>-30143</v>
      </c>
      <c r="D32" s="99">
        <f>22926+4106+22878+12352-46236-37720-5522</f>
        <v>-27216</v>
      </c>
      <c r="E32" s="81"/>
      <c r="F32" s="81"/>
      <c r="G32" s="81"/>
      <c r="H32" s="81"/>
      <c r="I32" s="81"/>
      <c r="K32" t="s">
        <v>113</v>
      </c>
    </row>
    <row r="33" spans="2:13" x14ac:dyDescent="0.25">
      <c r="B33" s="54" t="s">
        <v>82</v>
      </c>
      <c r="D33" s="69">
        <f>D32/D14</f>
        <v>-0.10460691690945291</v>
      </c>
      <c r="E33" s="69">
        <f>D33</f>
        <v>-0.10460691690945291</v>
      </c>
      <c r="F33" s="69">
        <f t="shared" ref="F33:I33" si="2">E33</f>
        <v>-0.10460691690945291</v>
      </c>
      <c r="G33" s="69">
        <f t="shared" si="2"/>
        <v>-0.10460691690945291</v>
      </c>
      <c r="H33" s="69">
        <f t="shared" si="2"/>
        <v>-0.10460691690945291</v>
      </c>
      <c r="I33" s="69">
        <f t="shared" si="2"/>
        <v>-0.10460691690945291</v>
      </c>
      <c r="J33" s="87"/>
    </row>
    <row r="34" spans="2:13" x14ac:dyDescent="0.25">
      <c r="D34" s="87"/>
      <c r="E34" s="59"/>
      <c r="F34" s="59"/>
      <c r="G34" s="59"/>
      <c r="H34" s="59"/>
      <c r="I34" s="59"/>
      <c r="J34" s="87"/>
      <c r="K34" s="100"/>
      <c r="M34" s="59"/>
    </row>
    <row r="35" spans="2:13" x14ac:dyDescent="0.25">
      <c r="B35" s="51" t="str">
        <f>"Present value of UFCF on "&amp;TEXT(D7,"mmm dd, yyyy")&amp;" valuation date"</f>
        <v>Present value of UFCF on Feb 28, 2020 valuation date</v>
      </c>
      <c r="C35" s="71"/>
      <c r="D35" s="101"/>
      <c r="E35" s="71"/>
      <c r="F35" s="101"/>
      <c r="G35" s="101"/>
      <c r="H35" s="101"/>
      <c r="I35" s="101"/>
      <c r="J35" s="87"/>
    </row>
    <row r="36" spans="2:13" ht="17.25" x14ac:dyDescent="0.4">
      <c r="B36" s="11"/>
      <c r="D36" s="102" t="s">
        <v>114</v>
      </c>
      <c r="E36" s="102" t="s">
        <v>115</v>
      </c>
      <c r="F36" s="103" t="s">
        <v>116</v>
      </c>
      <c r="G36" s="103" t="s">
        <v>117</v>
      </c>
      <c r="H36" s="103" t="s">
        <v>118</v>
      </c>
      <c r="I36" s="103" t="s">
        <v>119</v>
      </c>
      <c r="J36" s="87"/>
    </row>
    <row r="37" spans="2:13" x14ac:dyDescent="0.25">
      <c r="B37" t="s">
        <v>120</v>
      </c>
      <c r="C37" s="104" t="s">
        <v>121</v>
      </c>
      <c r="D37" s="1">
        <f>D7</f>
        <v>43889</v>
      </c>
      <c r="E37" s="1">
        <f>IF($H$7=0,E12,AVERAGE(D37,E12))</f>
        <v>44104</v>
      </c>
      <c r="F37" s="1">
        <f>IF($H$7=0,F12,AVERAGE(F12,E12))</f>
        <v>44469</v>
      </c>
      <c r="G37" s="1">
        <f>IF($H$7=0,G12,AVERAGE(G12,F12))</f>
        <v>44834</v>
      </c>
      <c r="H37" s="1">
        <f>IF($H$7=0,H12,AVERAGE(H12,G12))</f>
        <v>45199</v>
      </c>
      <c r="I37" s="1">
        <f>IF($H$7=0,I12,AVERAGE(I12,H12))</f>
        <v>45565</v>
      </c>
      <c r="J37" s="87"/>
    </row>
    <row r="38" spans="2:13" x14ac:dyDescent="0.25">
      <c r="B38" t="s">
        <v>122</v>
      </c>
      <c r="C38" s="105"/>
      <c r="D38" s="94"/>
      <c r="E38" s="106"/>
      <c r="F38" s="106"/>
      <c r="G38" s="106"/>
      <c r="H38" s="106"/>
      <c r="I38" s="106"/>
      <c r="J38" s="79"/>
      <c r="K38" t="s">
        <v>123</v>
      </c>
    </row>
    <row r="39" spans="2:13" ht="15" customHeight="1" x14ac:dyDescent="0.25">
      <c r="B39" s="11" t="s">
        <v>124</v>
      </c>
      <c r="C39" s="107"/>
      <c r="E39" s="90"/>
      <c r="F39" s="90"/>
      <c r="G39" s="90"/>
      <c r="H39" s="90"/>
      <c r="I39" s="90"/>
      <c r="J39" s="79"/>
    </row>
    <row r="41" spans="2:13" x14ac:dyDescent="0.25">
      <c r="B41" s="51" t="s">
        <v>125</v>
      </c>
      <c r="C41" s="51"/>
      <c r="E41" s="51" t="s">
        <v>126</v>
      </c>
      <c r="F41" s="71"/>
      <c r="G41" s="71"/>
      <c r="H41" s="71"/>
      <c r="I41" s="71"/>
    </row>
    <row r="42" spans="2:13" x14ac:dyDescent="0.25">
      <c r="B42" t="s">
        <v>127</v>
      </c>
      <c r="C42" s="83">
        <v>0.03</v>
      </c>
      <c r="E42" t="s">
        <v>128</v>
      </c>
      <c r="I42" s="108"/>
      <c r="J42" s="94"/>
    </row>
    <row r="43" spans="2:13" x14ac:dyDescent="0.25">
      <c r="B43" s="109" t="str">
        <f>YEAR(I12)&amp;" FCF x (1+g)"</f>
        <v>2024 FCF x (1+g)</v>
      </c>
      <c r="C43" s="108"/>
      <c r="E43" t="s">
        <v>129</v>
      </c>
      <c r="I43" s="110">
        <v>12.5</v>
      </c>
      <c r="J43" s="111"/>
    </row>
    <row r="44" spans="2:13" x14ac:dyDescent="0.25">
      <c r="B44" t="str">
        <f>"Terminal value in "&amp;YEAR(I12)</f>
        <v>Terminal value in 2024</v>
      </c>
      <c r="C44" s="108"/>
      <c r="E44" t="str">
        <f>"Terminal value in "&amp;YEAR(I12)</f>
        <v>Terminal value in 2024</v>
      </c>
      <c r="I44" s="108"/>
      <c r="J44" s="94"/>
    </row>
    <row r="45" spans="2:13" x14ac:dyDescent="0.25">
      <c r="B45" t="s">
        <v>130</v>
      </c>
      <c r="C45" s="108"/>
      <c r="E45" t="s">
        <v>130</v>
      </c>
      <c r="I45" s="108"/>
      <c r="J45" s="94"/>
    </row>
    <row r="46" spans="2:13" x14ac:dyDescent="0.25">
      <c r="B46" t="s">
        <v>131</v>
      </c>
      <c r="C46" s="81"/>
      <c r="E46" t="s">
        <v>131</v>
      </c>
      <c r="I46" s="108"/>
      <c r="J46" s="94"/>
    </row>
    <row r="47" spans="2:13" x14ac:dyDescent="0.25">
      <c r="B47" s="11" t="s">
        <v>132</v>
      </c>
      <c r="C47" s="112"/>
      <c r="D47" s="31"/>
      <c r="E47" s="11" t="s">
        <v>133</v>
      </c>
      <c r="I47" s="112"/>
      <c r="J47" s="113"/>
    </row>
    <row r="48" spans="2:13" x14ac:dyDescent="0.25">
      <c r="D48" s="92"/>
    </row>
    <row r="49" spans="2:12" x14ac:dyDescent="0.25">
      <c r="B49" s="114" t="s">
        <v>134</v>
      </c>
      <c r="C49" s="115"/>
      <c r="E49" s="114" t="s">
        <v>134</v>
      </c>
      <c r="I49" s="115"/>
      <c r="J49" s="116"/>
    </row>
    <row r="50" spans="2:12" x14ac:dyDescent="0.25">
      <c r="B50" s="114" t="s">
        <v>135</v>
      </c>
      <c r="C50" s="115"/>
      <c r="E50" s="114" t="s">
        <v>135</v>
      </c>
      <c r="G50" s="117"/>
      <c r="I50" s="115"/>
      <c r="J50" s="92"/>
    </row>
    <row r="51" spans="2:12" x14ac:dyDescent="0.25">
      <c r="B51" s="114" t="s">
        <v>136</v>
      </c>
      <c r="C51" s="118"/>
      <c r="E51" t="s">
        <v>137</v>
      </c>
      <c r="I51" s="119" t="e">
        <f>(H4-I38/I44)/(1+I38/I44)</f>
        <v>#DIV/0!</v>
      </c>
      <c r="J51" s="120"/>
    </row>
    <row r="52" spans="2:12" x14ac:dyDescent="0.25">
      <c r="B52" s="114"/>
      <c r="C52" s="24"/>
      <c r="D52" s="121"/>
      <c r="I52" s="120"/>
      <c r="J52" s="120"/>
    </row>
    <row r="53" spans="2:12" x14ac:dyDescent="0.25">
      <c r="B53" s="51" t="s">
        <v>138</v>
      </c>
      <c r="C53" s="71"/>
      <c r="E53" s="51" t="s">
        <v>139</v>
      </c>
      <c r="F53" s="71"/>
      <c r="G53" s="51"/>
      <c r="H53" s="71"/>
      <c r="I53" s="71"/>
    </row>
    <row r="54" spans="2:12" x14ac:dyDescent="0.25">
      <c r="B54" t="s">
        <v>140</v>
      </c>
      <c r="C54" s="66" t="s">
        <v>141</v>
      </c>
      <c r="L54" s="56"/>
    </row>
    <row r="55" spans="2:12" x14ac:dyDescent="0.25">
      <c r="B55" s="122" t="s">
        <v>142</v>
      </c>
      <c r="C55" s="62">
        <v>43827</v>
      </c>
      <c r="G55" s="30" t="s">
        <v>140</v>
      </c>
      <c r="H55" s="123" t="s">
        <v>143</v>
      </c>
      <c r="I55" s="123" t="s">
        <v>144</v>
      </c>
    </row>
    <row r="56" spans="2:12" x14ac:dyDescent="0.25">
      <c r="B56" s="124" t="s">
        <v>145</v>
      </c>
      <c r="C56" s="125"/>
      <c r="E56" t="s">
        <v>146</v>
      </c>
      <c r="G56" s="66" t="s">
        <v>141</v>
      </c>
      <c r="H56" s="66">
        <v>43847</v>
      </c>
      <c r="I56" s="126"/>
      <c r="J56" s="127"/>
    </row>
    <row r="57" spans="2:12" x14ac:dyDescent="0.25">
      <c r="B57" s="54" t="s">
        <v>147</v>
      </c>
      <c r="C57" s="95"/>
      <c r="E57" s="122" t="s">
        <v>148</v>
      </c>
      <c r="G57" s="66" t="s">
        <v>141</v>
      </c>
      <c r="H57" s="66">
        <v>43827</v>
      </c>
      <c r="I57" s="126"/>
      <c r="J57" s="128"/>
    </row>
    <row r="58" spans="2:12" ht="15" customHeight="1" x14ac:dyDescent="0.25">
      <c r="B58" s="54" t="s">
        <v>149</v>
      </c>
      <c r="C58" s="129"/>
      <c r="E58" s="122" t="s">
        <v>150</v>
      </c>
      <c r="G58" s="66"/>
      <c r="H58" s="66"/>
      <c r="I58" s="130"/>
    </row>
    <row r="59" spans="2:12" ht="15" customHeight="1" x14ac:dyDescent="0.25">
      <c r="B59" s="54" t="s">
        <v>151</v>
      </c>
      <c r="C59" s="129"/>
      <c r="E59" t="s">
        <v>149</v>
      </c>
      <c r="G59" s="66"/>
      <c r="H59" s="66"/>
      <c r="I59" s="130"/>
    </row>
    <row r="60" spans="2:12" x14ac:dyDescent="0.25">
      <c r="B60" s="131" t="s">
        <v>152</v>
      </c>
      <c r="C60" s="129"/>
      <c r="E60" t="s">
        <v>153</v>
      </c>
      <c r="G60" s="66"/>
      <c r="H60" s="66"/>
      <c r="I60" s="130"/>
    </row>
    <row r="61" spans="2:12" ht="15" customHeight="1" x14ac:dyDescent="0.25">
      <c r="B61" s="124" t="s">
        <v>154</v>
      </c>
      <c r="E61" s="132" t="s">
        <v>155</v>
      </c>
      <c r="I61" s="133">
        <f>SUM(I56:I60)</f>
        <v>0</v>
      </c>
      <c r="J61" s="134"/>
    </row>
    <row r="62" spans="2:12" x14ac:dyDescent="0.25">
      <c r="B62" s="135" t="s">
        <v>156</v>
      </c>
      <c r="C62" s="129"/>
      <c r="J62" s="136"/>
    </row>
    <row r="63" spans="2:12" x14ac:dyDescent="0.25">
      <c r="B63" s="135" t="s">
        <v>157</v>
      </c>
      <c r="C63" s="129"/>
      <c r="J63" s="136"/>
    </row>
    <row r="64" spans="2:12" x14ac:dyDescent="0.25">
      <c r="J64" s="137"/>
    </row>
    <row r="65" spans="2:17" x14ac:dyDescent="0.25">
      <c r="B65" s="138" t="s">
        <v>138</v>
      </c>
      <c r="C65" s="139"/>
    </row>
    <row r="67" spans="2:17" x14ac:dyDescent="0.25">
      <c r="B67" s="51" t="s">
        <v>158</v>
      </c>
      <c r="C67" s="71"/>
      <c r="D67" s="71"/>
    </row>
    <row r="68" spans="2:17" ht="17.25" x14ac:dyDescent="0.4">
      <c r="C68" s="140" t="s">
        <v>159</v>
      </c>
      <c r="D68" s="140" t="s">
        <v>98</v>
      </c>
    </row>
    <row r="69" spans="2:17" x14ac:dyDescent="0.25">
      <c r="B69" t="s">
        <v>160</v>
      </c>
      <c r="C69" s="141"/>
      <c r="D69" s="141"/>
    </row>
    <row r="70" spans="2:17" x14ac:dyDescent="0.25">
      <c r="B70" t="s">
        <v>138</v>
      </c>
      <c r="C70" s="142"/>
      <c r="D70" s="142"/>
    </row>
    <row r="71" spans="2:17" x14ac:dyDescent="0.25">
      <c r="B71" t="s">
        <v>161</v>
      </c>
      <c r="C71" s="143"/>
      <c r="D71" s="143"/>
    </row>
    <row r="72" spans="2:17" x14ac:dyDescent="0.25">
      <c r="B72" t="s">
        <v>139</v>
      </c>
      <c r="C72" s="143"/>
      <c r="D72" s="143"/>
    </row>
    <row r="73" spans="2:17" x14ac:dyDescent="0.25">
      <c r="B73" s="11" t="s">
        <v>162</v>
      </c>
      <c r="C73" s="144"/>
      <c r="D73" s="144"/>
    </row>
    <row r="74" spans="2:17" x14ac:dyDescent="0.25">
      <c r="B74" s="11"/>
      <c r="C74" s="145"/>
      <c r="D74" s="145"/>
    </row>
    <row r="75" spans="2:17" x14ac:dyDescent="0.25">
      <c r="B75" s="30" t="s">
        <v>163</v>
      </c>
      <c r="C75" s="123" t="s">
        <v>159</v>
      </c>
      <c r="D75" s="123" t="s">
        <v>98</v>
      </c>
      <c r="E75" s="146"/>
      <c r="F75" s="146"/>
    </row>
    <row r="76" spans="2:17" x14ac:dyDescent="0.25">
      <c r="B76" t="s">
        <v>164</v>
      </c>
      <c r="C76" s="147"/>
      <c r="D76" s="147"/>
      <c r="E76" s="146"/>
      <c r="F76" s="146"/>
    </row>
    <row r="77" spans="2:17" x14ac:dyDescent="0.25">
      <c r="B77" t="s">
        <v>165</v>
      </c>
      <c r="C77" s="148"/>
      <c r="D77" s="148"/>
      <c r="E77" s="146"/>
      <c r="F77" s="146"/>
      <c r="G77" s="149"/>
      <c r="H77" s="149"/>
    </row>
    <row r="78" spans="2:17" x14ac:dyDescent="0.25">
      <c r="B78" s="79" t="s">
        <v>166</v>
      </c>
      <c r="C78" s="148"/>
      <c r="D78" s="148"/>
      <c r="E78" s="146"/>
      <c r="F78" s="150"/>
    </row>
    <row r="79" spans="2:17" x14ac:dyDescent="0.25">
      <c r="F79" s="149"/>
    </row>
    <row r="80" spans="2:17" x14ac:dyDescent="0.25">
      <c r="B80" s="51" t="s">
        <v>167</v>
      </c>
      <c r="C80" s="51"/>
      <c r="D80" s="51"/>
      <c r="E80" s="51"/>
      <c r="F80" s="51"/>
      <c r="G80" s="51"/>
      <c r="H80" s="51"/>
      <c r="I80" s="51"/>
      <c r="J80" s="51"/>
      <c r="K80" s="51"/>
      <c r="L80" s="51"/>
      <c r="M80" s="51"/>
      <c r="N80" s="51"/>
      <c r="O80" s="51"/>
      <c r="P80" s="51"/>
      <c r="Q80" s="51"/>
    </row>
    <row r="81" spans="2:17" x14ac:dyDescent="0.25">
      <c r="B81" s="11"/>
    </row>
    <row r="82" spans="2:17" ht="17.25" customHeight="1" x14ac:dyDescent="0.4">
      <c r="B82" s="151"/>
      <c r="C82" s="11"/>
      <c r="D82" s="152" t="s">
        <v>162</v>
      </c>
      <c r="E82" s="50"/>
      <c r="F82" s="50"/>
      <c r="G82" s="50"/>
      <c r="H82" s="50"/>
      <c r="I82" s="50"/>
      <c r="J82" s="153"/>
      <c r="L82" s="152" t="s">
        <v>168</v>
      </c>
      <c r="M82" s="50"/>
      <c r="N82" s="50"/>
      <c r="O82" s="50"/>
      <c r="P82" s="50"/>
      <c r="Q82" s="50"/>
    </row>
    <row r="83" spans="2:17" ht="15" customHeight="1" x14ac:dyDescent="0.25">
      <c r="B83" s="151"/>
      <c r="D83" s="122"/>
      <c r="E83" s="2" t="s">
        <v>169</v>
      </c>
      <c r="F83" s="2"/>
      <c r="G83" s="2"/>
      <c r="H83" s="2"/>
      <c r="I83" s="2"/>
      <c r="J83" s="154"/>
      <c r="L83" s="122"/>
      <c r="M83" s="2" t="s">
        <v>169</v>
      </c>
      <c r="N83" s="2"/>
      <c r="O83" s="2"/>
      <c r="P83" s="2"/>
      <c r="Q83" s="2"/>
    </row>
    <row r="84" spans="2:17" ht="15" customHeight="1" x14ac:dyDescent="0.25">
      <c r="B84" s="151"/>
      <c r="C84" s="155"/>
      <c r="D84" s="156">
        <f>C73</f>
        <v>0</v>
      </c>
      <c r="E84" s="157">
        <f t="shared" ref="E84" si="3">F84-0.005</f>
        <v>1.9999999999999997E-2</v>
      </c>
      <c r="F84" s="158">
        <f>G84-0.005</f>
        <v>2.4999999999999998E-2</v>
      </c>
      <c r="G84" s="159">
        <v>0.03</v>
      </c>
      <c r="H84" s="158">
        <f>G84+0.005</f>
        <v>3.4999999999999996E-2</v>
      </c>
      <c r="I84" s="158">
        <f t="shared" ref="I84" si="4">H84+0.005</f>
        <v>3.9999999999999994E-2</v>
      </c>
      <c r="J84" s="160"/>
      <c r="L84" s="161">
        <f>C77</f>
        <v>0</v>
      </c>
      <c r="M84" s="157">
        <f t="shared" ref="M84" si="5">N84-0.005</f>
        <v>1.9999999999999997E-2</v>
      </c>
      <c r="N84" s="158">
        <f>O84-0.005</f>
        <v>2.4999999999999998E-2</v>
      </c>
      <c r="O84" s="159">
        <v>0.03</v>
      </c>
      <c r="P84" s="158">
        <f>O84+0.005</f>
        <v>3.4999999999999996E-2</v>
      </c>
      <c r="Q84" s="158">
        <f t="shared" ref="Q84" si="6">P84+0.005</f>
        <v>3.9999999999999994E-2</v>
      </c>
    </row>
    <row r="85" spans="2:17" ht="15" customHeight="1" x14ac:dyDescent="0.25">
      <c r="B85" s="151"/>
      <c r="D85" s="162">
        <f t="shared" ref="D85" si="7">D86+0.005</f>
        <v>0.1</v>
      </c>
      <c r="E85" s="163">
        <f t="dataTable" ref="E85:I89" dt2D="1" dtr="1" r1="C42" r2="H4"/>
        <v>0</v>
      </c>
      <c r="F85" s="163">
        <v>0</v>
      </c>
      <c r="G85" s="163">
        <v>0</v>
      </c>
      <c r="H85" s="163">
        <v>0</v>
      </c>
      <c r="I85" s="163">
        <v>0</v>
      </c>
      <c r="J85" s="164"/>
      <c r="L85" s="162">
        <f t="shared" ref="L85" si="8">L86+0.005</f>
        <v>0.1</v>
      </c>
      <c r="M85" s="165">
        <f t="dataTable" ref="M85:Q89" dt2D="1" dtr="1" r1="C42" r2="H4"/>
        <v>0</v>
      </c>
      <c r="N85" s="165">
        <v>0</v>
      </c>
      <c r="O85" s="165">
        <v>0</v>
      </c>
      <c r="P85" s="165">
        <v>0</v>
      </c>
      <c r="Q85" s="165">
        <v>0</v>
      </c>
    </row>
    <row r="86" spans="2:17" ht="15" customHeight="1" x14ac:dyDescent="0.25">
      <c r="B86" s="151"/>
      <c r="D86" s="162">
        <f>D87+0.005</f>
        <v>9.5000000000000001E-2</v>
      </c>
      <c r="E86" s="163">
        <v>0</v>
      </c>
      <c r="F86" s="163">
        <v>0</v>
      </c>
      <c r="G86" s="163">
        <v>0</v>
      </c>
      <c r="H86" s="163">
        <v>0</v>
      </c>
      <c r="I86" s="163">
        <v>0</v>
      </c>
      <c r="J86" s="164"/>
      <c r="L86" s="162">
        <f>L87+0.005</f>
        <v>9.5000000000000001E-2</v>
      </c>
      <c r="M86" s="165">
        <v>0</v>
      </c>
      <c r="N86" s="165">
        <v>0</v>
      </c>
      <c r="O86" s="165">
        <v>0</v>
      </c>
      <c r="P86" s="165">
        <v>0</v>
      </c>
      <c r="Q86" s="165">
        <v>0</v>
      </c>
    </row>
    <row r="87" spans="2:17" ht="15" customHeight="1" x14ac:dyDescent="0.25">
      <c r="B87" s="151"/>
      <c r="C87" s="155" t="s">
        <v>170</v>
      </c>
      <c r="D87" s="166">
        <v>0.09</v>
      </c>
      <c r="E87" s="163">
        <v>0</v>
      </c>
      <c r="F87" s="163">
        <v>0</v>
      </c>
      <c r="G87" s="163">
        <v>0</v>
      </c>
      <c r="H87" s="163">
        <v>0</v>
      </c>
      <c r="I87" s="163">
        <v>0</v>
      </c>
      <c r="J87" s="164"/>
      <c r="K87" s="155" t="s">
        <v>170</v>
      </c>
      <c r="L87" s="166">
        <v>0.09</v>
      </c>
      <c r="M87" s="165">
        <v>0</v>
      </c>
      <c r="N87" s="165">
        <v>0</v>
      </c>
      <c r="O87" s="165">
        <v>0</v>
      </c>
      <c r="P87" s="165">
        <v>0</v>
      </c>
      <c r="Q87" s="165">
        <v>0</v>
      </c>
    </row>
    <row r="88" spans="2:17" ht="15" customHeight="1" x14ac:dyDescent="0.25">
      <c r="B88" s="151"/>
      <c r="D88" s="162">
        <f>D87-0.005</f>
        <v>8.4999999999999992E-2</v>
      </c>
      <c r="E88" s="163">
        <v>0</v>
      </c>
      <c r="F88" s="163">
        <v>0</v>
      </c>
      <c r="G88" s="163">
        <v>0</v>
      </c>
      <c r="H88" s="163">
        <v>0</v>
      </c>
      <c r="I88" s="163">
        <v>0</v>
      </c>
      <c r="J88" s="164"/>
      <c r="L88" s="162">
        <f>L87-0.005</f>
        <v>8.4999999999999992E-2</v>
      </c>
      <c r="M88" s="165">
        <v>0</v>
      </c>
      <c r="N88" s="165">
        <v>0</v>
      </c>
      <c r="O88" s="165">
        <v>0</v>
      </c>
      <c r="P88" s="165">
        <v>0</v>
      </c>
      <c r="Q88" s="165">
        <v>0</v>
      </c>
    </row>
    <row r="89" spans="2:17" ht="15" customHeight="1" x14ac:dyDescent="0.25">
      <c r="B89" s="167" t="s">
        <v>171</v>
      </c>
      <c r="D89" s="168">
        <f>D88-0.005</f>
        <v>7.9999999999999988E-2</v>
      </c>
      <c r="E89" s="163">
        <v>0</v>
      </c>
      <c r="F89" s="163">
        <v>0</v>
      </c>
      <c r="G89" s="163">
        <v>0</v>
      </c>
      <c r="H89" s="163">
        <v>0</v>
      </c>
      <c r="I89" s="163">
        <v>0</v>
      </c>
      <c r="J89" s="164"/>
      <c r="L89" s="168">
        <f>L88-0.005</f>
        <v>7.9999999999999988E-2</v>
      </c>
      <c r="M89" s="165">
        <v>0</v>
      </c>
      <c r="N89" s="165">
        <v>0</v>
      </c>
      <c r="O89" s="165">
        <v>0</v>
      </c>
      <c r="P89" s="165">
        <v>0</v>
      </c>
      <c r="Q89" s="165">
        <v>0</v>
      </c>
    </row>
    <row r="90" spans="2:17" ht="15" customHeight="1" x14ac:dyDescent="0.25">
      <c r="B90" s="167" t="s">
        <v>172</v>
      </c>
      <c r="E90" s="169"/>
      <c r="F90" s="169"/>
      <c r="G90" s="169"/>
      <c r="H90" s="169"/>
      <c r="I90" s="169"/>
      <c r="J90" s="170"/>
    </row>
    <row r="91" spans="2:17" ht="17.25" customHeight="1" x14ac:dyDescent="0.4">
      <c r="B91" s="151"/>
      <c r="D91" s="152" t="s">
        <v>162</v>
      </c>
      <c r="E91" s="50"/>
      <c r="F91" s="50"/>
      <c r="G91" s="50"/>
      <c r="H91" s="50"/>
      <c r="I91" s="50"/>
      <c r="J91" s="153"/>
      <c r="L91" s="152" t="s">
        <v>168</v>
      </c>
      <c r="M91" s="50"/>
      <c r="N91" s="50"/>
      <c r="O91" s="50"/>
      <c r="P91" s="50"/>
      <c r="Q91" s="50"/>
    </row>
    <row r="92" spans="2:17" ht="15" customHeight="1" x14ac:dyDescent="0.25">
      <c r="B92" s="151"/>
      <c r="E92" s="2" t="s">
        <v>173</v>
      </c>
      <c r="F92" s="2"/>
      <c r="G92" s="2"/>
      <c r="H92" s="2"/>
      <c r="I92" s="2"/>
      <c r="J92" s="154"/>
      <c r="M92" s="2" t="s">
        <v>173</v>
      </c>
      <c r="N92" s="2"/>
      <c r="O92" s="2"/>
      <c r="P92" s="2"/>
      <c r="Q92" s="2"/>
    </row>
    <row r="93" spans="2:17" ht="15" customHeight="1" x14ac:dyDescent="0.25">
      <c r="B93" s="151"/>
      <c r="D93" s="171">
        <f>D73</f>
        <v>0</v>
      </c>
      <c r="E93" s="172">
        <f t="shared" ref="E93" si="9">F93-0.5</f>
        <v>11.5</v>
      </c>
      <c r="F93" s="172">
        <f>G93-0.5</f>
        <v>12</v>
      </c>
      <c r="G93" s="173">
        <v>12.5</v>
      </c>
      <c r="H93" s="172">
        <f>G93+0.5</f>
        <v>13</v>
      </c>
      <c r="I93" s="172">
        <f t="shared" ref="I93" si="10">H93+0.5</f>
        <v>13.5</v>
      </c>
      <c r="J93" s="174"/>
      <c r="L93" s="161">
        <f>D77</f>
        <v>0</v>
      </c>
      <c r="M93" s="172">
        <f t="shared" ref="M93" si="11">N93-0.5</f>
        <v>11.5</v>
      </c>
      <c r="N93" s="172">
        <f>O93-0.5</f>
        <v>12</v>
      </c>
      <c r="O93" s="173">
        <v>12.5</v>
      </c>
      <c r="P93" s="172">
        <f>O93+0.5</f>
        <v>13</v>
      </c>
      <c r="Q93" s="172">
        <f t="shared" ref="Q93" si="12">P93+0.5</f>
        <v>13.5</v>
      </c>
    </row>
    <row r="94" spans="2:17" ht="15" customHeight="1" x14ac:dyDescent="0.25">
      <c r="B94" s="151"/>
      <c r="D94" s="162">
        <f t="shared" ref="D94" si="13">D95+0.005</f>
        <v>0.1</v>
      </c>
      <c r="E94" s="163">
        <f t="dataTable" ref="E94:I98" dt2D="1" dtr="1" r1="I43" r2="H4"/>
        <v>0</v>
      </c>
      <c r="F94" s="163">
        <v>0</v>
      </c>
      <c r="G94" s="163">
        <v>0</v>
      </c>
      <c r="H94" s="163">
        <v>0</v>
      </c>
      <c r="I94" s="163">
        <v>0</v>
      </c>
      <c r="J94" s="164"/>
      <c r="L94" s="162">
        <f t="shared" ref="L94" si="14">L95+0.005</f>
        <v>0.1</v>
      </c>
      <c r="M94" s="165">
        <f t="dataTable" ref="M94:Q98" dt2D="1" dtr="1" r1="I43" r2="H4"/>
        <v>0</v>
      </c>
      <c r="N94" s="165">
        <v>0</v>
      </c>
      <c r="O94" s="165">
        <v>0</v>
      </c>
      <c r="P94" s="165">
        <v>0</v>
      </c>
      <c r="Q94" s="165">
        <v>0</v>
      </c>
    </row>
    <row r="95" spans="2:17" ht="15" customHeight="1" x14ac:dyDescent="0.25">
      <c r="B95" s="151"/>
      <c r="D95" s="162">
        <f>D96+0.005</f>
        <v>9.5000000000000001E-2</v>
      </c>
      <c r="E95" s="163">
        <v>0</v>
      </c>
      <c r="F95" s="163">
        <v>0</v>
      </c>
      <c r="G95" s="163">
        <v>0</v>
      </c>
      <c r="H95" s="163">
        <v>0</v>
      </c>
      <c r="I95" s="163">
        <v>0</v>
      </c>
      <c r="J95" s="164"/>
      <c r="L95" s="162">
        <f>L96+0.005</f>
        <v>9.5000000000000001E-2</v>
      </c>
      <c r="M95" s="165">
        <v>0</v>
      </c>
      <c r="N95" s="165">
        <v>0</v>
      </c>
      <c r="O95" s="165">
        <v>0</v>
      </c>
      <c r="P95" s="165">
        <v>0</v>
      </c>
      <c r="Q95" s="165">
        <v>0</v>
      </c>
    </row>
    <row r="96" spans="2:17" ht="15" customHeight="1" x14ac:dyDescent="0.25">
      <c r="B96" s="151"/>
      <c r="C96" s="155" t="s">
        <v>170</v>
      </c>
      <c r="D96" s="166">
        <v>0.09</v>
      </c>
      <c r="E96" s="163">
        <v>0</v>
      </c>
      <c r="F96" s="163">
        <v>0</v>
      </c>
      <c r="G96" s="163">
        <v>0</v>
      </c>
      <c r="H96" s="163">
        <v>0</v>
      </c>
      <c r="I96" s="163">
        <v>0</v>
      </c>
      <c r="J96" s="164"/>
      <c r="K96" s="155" t="s">
        <v>170</v>
      </c>
      <c r="L96" s="166">
        <v>0.09</v>
      </c>
      <c r="M96" s="165">
        <v>0</v>
      </c>
      <c r="N96" s="165">
        <v>0</v>
      </c>
      <c r="O96" s="165">
        <v>0</v>
      </c>
      <c r="P96" s="165">
        <v>0</v>
      </c>
      <c r="Q96" s="165">
        <v>0</v>
      </c>
    </row>
    <row r="97" spans="2:17" ht="15" customHeight="1" x14ac:dyDescent="0.25">
      <c r="B97" s="151"/>
      <c r="D97" s="162">
        <f>D96-0.005</f>
        <v>8.4999999999999992E-2</v>
      </c>
      <c r="E97" s="163">
        <v>0</v>
      </c>
      <c r="F97" s="163">
        <v>0</v>
      </c>
      <c r="G97" s="163">
        <v>0</v>
      </c>
      <c r="H97" s="163">
        <v>0</v>
      </c>
      <c r="I97" s="163">
        <v>0</v>
      </c>
      <c r="J97" s="164"/>
      <c r="L97" s="162">
        <f>L96-0.005</f>
        <v>8.4999999999999992E-2</v>
      </c>
      <c r="M97" s="165">
        <v>0</v>
      </c>
      <c r="N97" s="165">
        <v>0</v>
      </c>
      <c r="O97" s="165">
        <v>0</v>
      </c>
      <c r="P97" s="165">
        <v>0</v>
      </c>
      <c r="Q97" s="165">
        <v>0</v>
      </c>
    </row>
    <row r="98" spans="2:17" ht="15" customHeight="1" x14ac:dyDescent="0.25">
      <c r="B98" s="151"/>
      <c r="D98" s="168">
        <f>D97-0.005</f>
        <v>7.9999999999999988E-2</v>
      </c>
      <c r="E98" s="163">
        <v>0</v>
      </c>
      <c r="F98" s="163">
        <v>0</v>
      </c>
      <c r="G98" s="163">
        <v>0</v>
      </c>
      <c r="H98" s="163">
        <v>0</v>
      </c>
      <c r="I98" s="163">
        <v>0</v>
      </c>
      <c r="J98" s="164"/>
      <c r="L98" s="168">
        <f>L97-0.005</f>
        <v>7.9999999999999988E-2</v>
      </c>
      <c r="M98" s="165">
        <v>0</v>
      </c>
      <c r="N98" s="165">
        <v>0</v>
      </c>
      <c r="O98" s="165">
        <v>0</v>
      </c>
      <c r="P98" s="165">
        <v>0</v>
      </c>
      <c r="Q98" s="165">
        <v>0</v>
      </c>
    </row>
    <row r="99" spans="2:17" x14ac:dyDescent="0.25">
      <c r="J99" s="175"/>
    </row>
    <row r="100" spans="2:17" x14ac:dyDescent="0.25">
      <c r="B100" s="176" t="s">
        <v>174</v>
      </c>
      <c r="C100" s="176"/>
      <c r="D100" s="176"/>
      <c r="E100" s="176"/>
      <c r="G100" s="176" t="s">
        <v>175</v>
      </c>
      <c r="H100" s="176"/>
      <c r="I100" s="176"/>
      <c r="J100" s="177"/>
      <c r="K100" s="176"/>
      <c r="L100" s="176"/>
      <c r="M100" s="176"/>
      <c r="N100" s="176"/>
      <c r="O100" s="176"/>
      <c r="P100" s="176"/>
    </row>
    <row r="101" spans="2:17" x14ac:dyDescent="0.25">
      <c r="J101" s="175"/>
    </row>
    <row r="102" spans="2:17" x14ac:dyDescent="0.25">
      <c r="J102" s="175"/>
    </row>
    <row r="103" spans="2:17" x14ac:dyDescent="0.25">
      <c r="J103" s="175"/>
    </row>
    <row r="104" spans="2:17" x14ac:dyDescent="0.25">
      <c r="J104" s="175"/>
    </row>
    <row r="105" spans="2:17" x14ac:dyDescent="0.25">
      <c r="J105" s="175"/>
    </row>
    <row r="106" spans="2:17" x14ac:dyDescent="0.25">
      <c r="J106" s="175"/>
    </row>
    <row r="107" spans="2:17" x14ac:dyDescent="0.25">
      <c r="J107" s="175"/>
    </row>
    <row r="108" spans="2:17" x14ac:dyDescent="0.25">
      <c r="J108" s="175"/>
    </row>
    <row r="109" spans="2:17" x14ac:dyDescent="0.25">
      <c r="J109" s="175"/>
    </row>
    <row r="110" spans="2:17" x14ac:dyDescent="0.25">
      <c r="J110" s="175"/>
    </row>
    <row r="111" spans="2:17" x14ac:dyDescent="0.25">
      <c r="J111" s="175"/>
    </row>
    <row r="112" spans="2:17" x14ac:dyDescent="0.25">
      <c r="J112" s="175"/>
    </row>
    <row r="113" spans="2:17" x14ac:dyDescent="0.25">
      <c r="J113" s="175"/>
    </row>
    <row r="114" spans="2:17" x14ac:dyDescent="0.25">
      <c r="J114" s="175"/>
      <c r="M114" s="178"/>
    </row>
    <row r="115" spans="2:17" x14ac:dyDescent="0.25">
      <c r="J115" s="175"/>
    </row>
    <row r="116" spans="2:17" x14ac:dyDescent="0.25">
      <c r="J116" s="175"/>
    </row>
    <row r="117" spans="2:17" x14ac:dyDescent="0.25">
      <c r="J117" s="175"/>
    </row>
    <row r="118" spans="2:17" x14ac:dyDescent="0.25">
      <c r="J118" s="175"/>
    </row>
    <row r="119" spans="2:17" x14ac:dyDescent="0.25">
      <c r="J119" s="175"/>
    </row>
    <row r="120" spans="2:17" x14ac:dyDescent="0.25">
      <c r="J120" s="175"/>
    </row>
    <row r="121" spans="2:17" x14ac:dyDescent="0.25">
      <c r="B121" s="179"/>
      <c r="C121" s="180" t="s">
        <v>176</v>
      </c>
      <c r="D121" s="180" t="s">
        <v>177</v>
      </c>
      <c r="E121" s="181" t="s">
        <v>178</v>
      </c>
      <c r="G121" s="179"/>
      <c r="H121" s="182"/>
      <c r="I121" s="182"/>
      <c r="J121" s="183"/>
      <c r="K121" s="182"/>
      <c r="L121" s="182"/>
      <c r="M121" s="182"/>
      <c r="N121" s="182"/>
      <c r="O121" s="180" t="s">
        <v>176</v>
      </c>
      <c r="P121" s="180" t="s">
        <v>177</v>
      </c>
      <c r="Q121" s="181" t="s">
        <v>178</v>
      </c>
    </row>
    <row r="122" spans="2:17" x14ac:dyDescent="0.25">
      <c r="B122" s="184" t="str">
        <f>"DCF Value at "&amp;TEXT(E93,"0.0x")&amp;"-"&amp;TEXT(I93,"0.0x")&amp;" Exit EBITDA Range at "&amp;TEXT(D96,"0.0%")&amp;" WACC"</f>
        <v>DCF Value at 11.5x-13.5x Exit EBITDA Range at 9.0% WACC</v>
      </c>
      <c r="C122" s="185">
        <f>E96</f>
        <v>0</v>
      </c>
      <c r="D122" s="185">
        <f>E122-C122</f>
        <v>0</v>
      </c>
      <c r="E122" s="186">
        <f>I96</f>
        <v>0</v>
      </c>
      <c r="G122" s="184" t="str">
        <f>"LTM EBITDA Purchase Multiple at "&amp;TEXT(M84,"0.0%")&amp;"-"&amp;TEXT(Q84,"0.0%")&amp;" Perpetuity Growth at "&amp;TEXT(L87,"0.0%")&amp;" WACC"</f>
        <v>LTM EBITDA Purchase Multiple at 2.0%-4.0% Perpetuity Growth at 9.0% WACC</v>
      </c>
      <c r="J122" s="175"/>
      <c r="O122" s="187">
        <f>M87</f>
        <v>0</v>
      </c>
      <c r="P122" s="187">
        <f>Q122-O122</f>
        <v>0</v>
      </c>
      <c r="Q122" s="188">
        <f>Q87</f>
        <v>0</v>
      </c>
    </row>
    <row r="123" spans="2:17" x14ac:dyDescent="0.25">
      <c r="B123" s="189" t="str">
        <f>"DCF Value at "&amp;TEXT(E84,"0.0%")&amp;"-"&amp;TEXT(I84,"0.0%")&amp;" Perpetuity Range at "&amp;TEXT(D96,"0.0%")&amp;" WACC"</f>
        <v>DCF Value at 2.0%-4.0% Perpetuity Range at 9.0% WACC</v>
      </c>
      <c r="C123" s="185">
        <f>E87</f>
        <v>0</v>
      </c>
      <c r="D123" s="185">
        <f>E123-C123</f>
        <v>0</v>
      </c>
      <c r="E123" s="186">
        <f>I87</f>
        <v>0</v>
      </c>
      <c r="G123" s="189" t="str">
        <f>"LTM EBITDA Purchase Multiple at "&amp;TEXT(M96,"0.0x")&amp;"-"&amp;TEXT(Q96,"0.0x")&amp;" Exit EBITDA Multiple at "&amp;TEXT(L96,"0.0%")&amp;" WACC"</f>
        <v>LTM EBITDA Purchase Multiple at 0.0x-0.0x Exit EBITDA Multiple at 9.0% WACC</v>
      </c>
      <c r="J123" s="175"/>
      <c r="O123" s="187">
        <f>M96</f>
        <v>0</v>
      </c>
      <c r="P123" s="187">
        <f>Q123-O123</f>
        <v>0</v>
      </c>
      <c r="Q123" s="188">
        <f>Q96</f>
        <v>0</v>
      </c>
    </row>
    <row r="124" spans="2:17" x14ac:dyDescent="0.25">
      <c r="B124" s="190" t="s">
        <v>179</v>
      </c>
      <c r="C124" s="191">
        <v>169.5</v>
      </c>
      <c r="D124" s="191">
        <f>E124-C124</f>
        <v>158.35000000000002</v>
      </c>
      <c r="E124" s="192">
        <v>327.85</v>
      </c>
      <c r="G124" s="190" t="str">
        <f>"LTM EBITDA Purchase Multiple at "&amp;TEXT(L98,"0.0%")&amp;"-"&amp;TEXT(L94,"0.0%")&amp;" WACC at "&amp;TEXT(O93,"0.0x")&amp;" Exit EBITDA"</f>
        <v>LTM EBITDA Purchase Multiple at 8.0%-10.0% WACC at 12.5x Exit EBITDA</v>
      </c>
      <c r="H124" s="193"/>
      <c r="I124" s="193"/>
      <c r="J124" s="194"/>
      <c r="K124" s="193"/>
      <c r="L124" s="193"/>
      <c r="M124" s="193"/>
      <c r="N124" s="193"/>
      <c r="O124" s="195">
        <f>O94</f>
        <v>0</v>
      </c>
      <c r="P124" s="195">
        <f>Q124-O124</f>
        <v>0</v>
      </c>
      <c r="Q124" s="196">
        <f>O98</f>
        <v>0</v>
      </c>
    </row>
    <row r="125" spans="2:17" x14ac:dyDescent="0.25">
      <c r="J125" s="175"/>
    </row>
    <row r="126" spans="2:17" x14ac:dyDescent="0.25">
      <c r="J126" s="175"/>
    </row>
  </sheetData>
  <conditionalFormatting sqref="E85:J89 E94:J98">
    <cfRule type="cellIs" dxfId="8" priority="1" operator="lessThan">
      <formula>$C$7</formula>
    </cfRule>
  </conditionalFormatting>
  <dataValidations count="1">
    <dataValidation type="list" allowBlank="1" showInputMessage="1" showErrorMessage="1" sqref="H7" xr:uid="{4BC730BF-AA3E-4E53-9DEF-80C53FE688D4}">
      <formula1>"0,1"</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03EDA-CB43-4881-9D30-B247BB09B0B0}">
  <sheetPr>
    <tabColor theme="9"/>
  </sheetPr>
  <dimension ref="B1:Q126"/>
  <sheetViews>
    <sheetView zoomScaleNormal="100" workbookViewId="0"/>
  </sheetViews>
  <sheetFormatPr defaultColWidth="9.140625" defaultRowHeight="15" x14ac:dyDescent="0.25"/>
  <cols>
    <col min="1" max="1" width="1.42578125" customWidth="1"/>
    <col min="2" max="2" width="54.42578125" customWidth="1"/>
    <col min="3" max="3" width="13.42578125" customWidth="1"/>
    <col min="4" max="9" width="12.7109375" customWidth="1"/>
    <col min="10" max="10" width="1.7109375" customWidth="1"/>
    <col min="11" max="11" width="12.140625" bestFit="1" customWidth="1"/>
    <col min="12" max="16" width="9.42578125" customWidth="1"/>
  </cols>
  <sheetData>
    <row r="1" spans="2:11" ht="15.75" thickBot="1" x14ac:dyDescent="0.3"/>
    <row r="2" spans="2:11" ht="15.75" thickBot="1" x14ac:dyDescent="0.3">
      <c r="B2" s="47" t="s">
        <v>83</v>
      </c>
      <c r="C2" s="48"/>
      <c r="D2" s="48"/>
      <c r="E2" s="48"/>
      <c r="F2" s="48"/>
      <c r="G2" s="48"/>
      <c r="H2" s="48"/>
      <c r="I2" s="48"/>
    </row>
    <row r="3" spans="2:11" x14ac:dyDescent="0.25">
      <c r="B3" s="61" t="str">
        <f>'Financials '!$B$3</f>
        <v xml:space="preserve">$ and shares in millions, except per share data </v>
      </c>
    </row>
    <row r="4" spans="2:11" ht="15" customHeight="1" x14ac:dyDescent="0.25">
      <c r="B4" t="s">
        <v>84</v>
      </c>
      <c r="D4" s="197">
        <v>43736</v>
      </c>
      <c r="F4" t="s">
        <v>85</v>
      </c>
      <c r="H4" s="57">
        <v>0.09</v>
      </c>
      <c r="K4" t="s">
        <v>180</v>
      </c>
    </row>
    <row r="5" spans="2:11" x14ac:dyDescent="0.25">
      <c r="B5" t="s">
        <v>86</v>
      </c>
      <c r="D5" s="125">
        <f>EOMONTH(D4,12)</f>
        <v>44104</v>
      </c>
      <c r="F5" t="s">
        <v>87</v>
      </c>
      <c r="H5" s="198">
        <v>273.52</v>
      </c>
    </row>
    <row r="6" spans="2:11" x14ac:dyDescent="0.25">
      <c r="B6" t="s">
        <v>88</v>
      </c>
      <c r="D6" s="197">
        <v>43827</v>
      </c>
      <c r="F6" t="s">
        <v>89</v>
      </c>
      <c r="H6" s="199">
        <v>43888</v>
      </c>
      <c r="J6" s="67"/>
    </row>
    <row r="7" spans="2:11" x14ac:dyDescent="0.25">
      <c r="B7" t="s">
        <v>90</v>
      </c>
      <c r="D7" s="197">
        <v>43889</v>
      </c>
      <c r="F7" t="s">
        <v>91</v>
      </c>
      <c r="H7" s="200">
        <v>0</v>
      </c>
      <c r="I7" s="67"/>
      <c r="J7" s="67"/>
    </row>
    <row r="8" spans="2:11" x14ac:dyDescent="0.25">
      <c r="B8" t="s">
        <v>92</v>
      </c>
      <c r="D8" s="59">
        <f>YEARFRAC(D7,D5)</f>
        <v>0.58888888888888891</v>
      </c>
    </row>
    <row r="9" spans="2:11" x14ac:dyDescent="0.25">
      <c r="D9" s="70"/>
    </row>
    <row r="10" spans="2:11" x14ac:dyDescent="0.25">
      <c r="B10" s="51" t="s">
        <v>93</v>
      </c>
      <c r="C10" s="71"/>
      <c r="D10" s="72"/>
      <c r="F10" s="71"/>
      <c r="G10" s="71"/>
      <c r="H10" s="71"/>
      <c r="I10" s="71"/>
    </row>
    <row r="11" spans="2:11" ht="17.25" customHeight="1" x14ac:dyDescent="0.4">
      <c r="C11" s="50"/>
      <c r="D11" s="50" t="s">
        <v>72</v>
      </c>
      <c r="E11" s="73" t="s">
        <v>94</v>
      </c>
      <c r="F11" s="50"/>
      <c r="G11" s="50"/>
      <c r="H11" s="50"/>
      <c r="I11" s="50"/>
    </row>
    <row r="12" spans="2:11" x14ac:dyDescent="0.25">
      <c r="B12" s="24" t="s">
        <v>95</v>
      </c>
      <c r="C12" s="74"/>
      <c r="D12" s="201">
        <f>D4</f>
        <v>43736</v>
      </c>
      <c r="E12" s="202">
        <f>EOMONTH(D12,12)</f>
        <v>44104</v>
      </c>
      <c r="F12" s="202">
        <f t="shared" ref="F12:I12" si="0">EOMONTH(E12,12)</f>
        <v>44469</v>
      </c>
      <c r="G12" s="202">
        <f t="shared" si="0"/>
        <v>44834</v>
      </c>
      <c r="H12" s="202">
        <f t="shared" si="0"/>
        <v>45199</v>
      </c>
      <c r="I12" s="202">
        <f t="shared" si="0"/>
        <v>45565</v>
      </c>
    </row>
    <row r="13" spans="2:11" x14ac:dyDescent="0.25">
      <c r="B13" s="24"/>
      <c r="D13" s="77"/>
      <c r="E13" s="78"/>
      <c r="F13" s="78"/>
      <c r="G13" s="78"/>
      <c r="H13" s="78"/>
      <c r="I13" s="78"/>
    </row>
    <row r="14" spans="2:11" x14ac:dyDescent="0.25">
      <c r="B14" t="s">
        <v>2</v>
      </c>
      <c r="C14" s="79"/>
      <c r="D14" s="203">
        <v>260174</v>
      </c>
      <c r="E14" s="79">
        <f>D14*(1+E15)</f>
        <v>280987.92000000004</v>
      </c>
      <c r="F14" s="79">
        <f t="shared" ref="F14:I14" si="1">E14*(1+F15)</f>
        <v>306276.83280000009</v>
      </c>
      <c r="G14" s="79">
        <f t="shared" si="1"/>
        <v>324653.44276800012</v>
      </c>
      <c r="H14" s="79">
        <f t="shared" si="1"/>
        <v>344132.64933408017</v>
      </c>
      <c r="I14" s="79">
        <f t="shared" si="1"/>
        <v>364780.60829412501</v>
      </c>
    </row>
    <row r="15" spans="2:11" x14ac:dyDescent="0.25">
      <c r="B15" s="54" t="s">
        <v>97</v>
      </c>
      <c r="D15" s="204"/>
      <c r="E15" s="55">
        <v>0.08</v>
      </c>
      <c r="F15" s="55">
        <v>0.09</v>
      </c>
      <c r="G15" s="55">
        <v>0.06</v>
      </c>
      <c r="H15" s="55">
        <v>0.06</v>
      </c>
      <c r="I15" s="55">
        <v>0.06</v>
      </c>
      <c r="K15" s="55"/>
    </row>
    <row r="16" spans="2:11" x14ac:dyDescent="0.25">
      <c r="B16" t="s">
        <v>98</v>
      </c>
      <c r="C16" s="79"/>
      <c r="D16" s="91">
        <f>D18+D25</f>
        <v>76477</v>
      </c>
      <c r="E16" s="79">
        <f>E17*E14</f>
        <v>81486.496800000008</v>
      </c>
      <c r="F16" s="79">
        <f t="shared" ref="F16:I16" si="2">F17*F14</f>
        <v>88820.281512000016</v>
      </c>
      <c r="G16" s="79">
        <f t="shared" si="2"/>
        <v>92526.231188880032</v>
      </c>
      <c r="H16" s="79">
        <f t="shared" si="2"/>
        <v>98077.805060212835</v>
      </c>
      <c r="I16" s="79">
        <f t="shared" si="2"/>
        <v>102138.57032235501</v>
      </c>
    </row>
    <row r="17" spans="2:13" x14ac:dyDescent="0.25">
      <c r="B17" s="54" t="s">
        <v>77</v>
      </c>
      <c r="D17" s="205">
        <f>D16/D14</f>
        <v>0.29394559025882677</v>
      </c>
      <c r="E17" s="55">
        <v>0.28999999999999998</v>
      </c>
      <c r="F17" s="55">
        <v>0.28999999999999998</v>
      </c>
      <c r="G17" s="55">
        <v>0.28499999999999998</v>
      </c>
      <c r="H17" s="55">
        <v>0.28499999999999998</v>
      </c>
      <c r="I17" s="55">
        <v>0.28000000000000003</v>
      </c>
    </row>
    <row r="18" spans="2:13" x14ac:dyDescent="0.25">
      <c r="B18" t="s">
        <v>78</v>
      </c>
      <c r="D18" s="203">
        <v>63930</v>
      </c>
      <c r="E18" s="79">
        <f>E19*E14</f>
        <v>69123.028320000012</v>
      </c>
      <c r="F18" s="79">
        <f t="shared" ref="F18:I18" si="3">F19*F14</f>
        <v>76569.208200000023</v>
      </c>
      <c r="G18" s="79">
        <f t="shared" si="3"/>
        <v>81163.360692000031</v>
      </c>
      <c r="H18" s="79">
        <f t="shared" si="3"/>
        <v>87753.825580190445</v>
      </c>
      <c r="I18" s="79">
        <f t="shared" si="3"/>
        <v>91195.152073531252</v>
      </c>
    </row>
    <row r="19" spans="2:13" x14ac:dyDescent="0.25">
      <c r="B19" s="54" t="s">
        <v>77</v>
      </c>
      <c r="D19" s="205">
        <f>D18/D14</f>
        <v>0.24572017188496928</v>
      </c>
      <c r="E19" s="55">
        <v>0.246</v>
      </c>
      <c r="F19" s="55">
        <v>0.25</v>
      </c>
      <c r="G19" s="55">
        <v>0.25</v>
      </c>
      <c r="H19" s="55">
        <v>0.255</v>
      </c>
      <c r="I19" s="55">
        <v>0.25</v>
      </c>
    </row>
    <row r="20" spans="2:13" x14ac:dyDescent="0.25">
      <c r="B20" s="54"/>
      <c r="D20" s="86"/>
      <c r="E20" s="87"/>
      <c r="F20" s="87"/>
      <c r="G20" s="87"/>
      <c r="H20" s="87"/>
      <c r="I20" s="87"/>
    </row>
    <row r="21" spans="2:13" ht="15" customHeight="1" x14ac:dyDescent="0.25">
      <c r="B21" t="s">
        <v>101</v>
      </c>
      <c r="C21" s="79"/>
      <c r="D21" s="91">
        <f>D22*D18</f>
        <v>10164.870000000001</v>
      </c>
      <c r="E21" s="79">
        <f>E22*E18</f>
        <v>10921.438474560002</v>
      </c>
      <c r="F21" s="79">
        <f t="shared" ref="F21:I21" si="4">F22*F18</f>
        <v>12710.488561200005</v>
      </c>
      <c r="G21" s="79">
        <f t="shared" si="4"/>
        <v>13554.281235564005</v>
      </c>
      <c r="H21" s="79">
        <f t="shared" si="4"/>
        <v>15181.411825372947</v>
      </c>
      <c r="I21" s="79">
        <f t="shared" si="4"/>
        <v>15776.761308720905</v>
      </c>
    </row>
    <row r="22" spans="2:13" ht="15" customHeight="1" x14ac:dyDescent="0.25">
      <c r="B22" s="54" t="s">
        <v>79</v>
      </c>
      <c r="D22" s="206">
        <v>0.159</v>
      </c>
      <c r="E22" s="206">
        <v>0.158</v>
      </c>
      <c r="F22" s="57">
        <v>0.16600000000000001</v>
      </c>
      <c r="G22" s="57">
        <v>0.16700000000000001</v>
      </c>
      <c r="H22" s="57">
        <v>0.17299999999999999</v>
      </c>
      <c r="I22" s="57">
        <v>0.17299999999999999</v>
      </c>
    </row>
    <row r="23" spans="2:13" ht="15" customHeight="1" x14ac:dyDescent="0.25">
      <c r="B23" s="11" t="s">
        <v>103</v>
      </c>
      <c r="C23" s="11"/>
      <c r="D23" s="207">
        <f>D18-D21</f>
        <v>53765.13</v>
      </c>
      <c r="E23" s="207">
        <f t="shared" ref="E23:I23" si="5">E18-E21</f>
        <v>58201.589845440009</v>
      </c>
      <c r="F23" s="98">
        <f t="shared" si="5"/>
        <v>63858.719638800016</v>
      </c>
      <c r="G23" s="98">
        <f t="shared" si="5"/>
        <v>67609.079456436026</v>
      </c>
      <c r="H23" s="98">
        <f t="shared" si="5"/>
        <v>72572.413754817506</v>
      </c>
      <c r="I23" s="98">
        <f t="shared" si="5"/>
        <v>75418.390764810349</v>
      </c>
    </row>
    <row r="24" spans="2:13" x14ac:dyDescent="0.25">
      <c r="D24" s="91"/>
      <c r="E24" s="79"/>
      <c r="F24" s="79"/>
      <c r="G24" s="79"/>
      <c r="H24" s="79"/>
      <c r="I24" s="79"/>
    </row>
    <row r="25" spans="2:13" ht="15" customHeight="1" x14ac:dyDescent="0.25">
      <c r="B25" t="s">
        <v>105</v>
      </c>
      <c r="D25" s="203">
        <v>12547</v>
      </c>
      <c r="E25" s="79">
        <f>E16-E18</f>
        <v>12363.468479999996</v>
      </c>
      <c r="F25" s="79">
        <f t="shared" ref="F25:I25" si="6">F16-F18</f>
        <v>12251.073311999993</v>
      </c>
      <c r="G25" s="79">
        <f t="shared" si="6"/>
        <v>11362.870496880001</v>
      </c>
      <c r="H25" s="79">
        <f t="shared" si="6"/>
        <v>10323.97948002239</v>
      </c>
      <c r="I25" s="79">
        <f t="shared" si="6"/>
        <v>10943.418248823757</v>
      </c>
      <c r="M25" s="92"/>
    </row>
    <row r="26" spans="2:13" ht="15" customHeight="1" x14ac:dyDescent="0.25">
      <c r="B26" t="s">
        <v>107</v>
      </c>
      <c r="D26" s="208">
        <f t="shared" ref="D26:I26" si="7">C32-D32</f>
        <v>-2927</v>
      </c>
      <c r="E26" s="208">
        <f t="shared" si="7"/>
        <v>2177.2800000000061</v>
      </c>
      <c r="F26" s="79">
        <f t="shared" si="7"/>
        <v>2645.3952000000063</v>
      </c>
      <c r="G26" s="79">
        <f t="shared" si="7"/>
        <v>1922.3205120000057</v>
      </c>
      <c r="H26" s="79">
        <f t="shared" si="7"/>
        <v>2037.6597427200031</v>
      </c>
      <c r="I26" s="79">
        <f t="shared" si="7"/>
        <v>2159.9193272832053</v>
      </c>
      <c r="M26" s="94"/>
    </row>
    <row r="27" spans="2:13" ht="15" customHeight="1" x14ac:dyDescent="0.25">
      <c r="B27" t="s">
        <v>109</v>
      </c>
      <c r="D27" s="203">
        <v>-10495</v>
      </c>
      <c r="E27" s="100">
        <f>-(E28*E14)</f>
        <v>-11334.6</v>
      </c>
      <c r="F27" s="100">
        <f>-(F28*F14)</f>
        <v>-11944.796479200004</v>
      </c>
      <c r="G27" s="100">
        <f>-(G28*G14)</f>
        <v>-12336.830825184004</v>
      </c>
      <c r="H27" s="100">
        <f>-(H28*H14)</f>
        <v>-12732.908025360966</v>
      </c>
      <c r="I27" s="100">
        <f>-(I28*I14)</f>
        <v>-13132.101898588498</v>
      </c>
      <c r="M27" s="94"/>
    </row>
    <row r="28" spans="2:13" ht="15" customHeight="1" x14ac:dyDescent="0.25">
      <c r="B28" s="54" t="s">
        <v>82</v>
      </c>
      <c r="D28" s="209">
        <f>-(D27/D14)</f>
        <v>4.033838892433525E-2</v>
      </c>
      <c r="E28" s="55">
        <f>D28</f>
        <v>4.033838892433525E-2</v>
      </c>
      <c r="F28" s="55">
        <v>3.9E-2</v>
      </c>
      <c r="G28" s="55">
        <v>3.7999999999999999E-2</v>
      </c>
      <c r="H28" s="55">
        <v>3.6999999999999998E-2</v>
      </c>
      <c r="I28" s="55">
        <v>3.5999999999999997E-2</v>
      </c>
      <c r="M28" s="94"/>
    </row>
    <row r="29" spans="2:13" x14ac:dyDescent="0.25">
      <c r="D29" s="58"/>
      <c r="E29" s="97"/>
      <c r="F29" s="97"/>
      <c r="G29" s="97"/>
      <c r="H29" s="97"/>
      <c r="I29" s="97"/>
      <c r="M29" s="94"/>
    </row>
    <row r="30" spans="2:13" x14ac:dyDescent="0.25">
      <c r="B30" s="11" t="s">
        <v>111</v>
      </c>
      <c r="C30" s="11"/>
      <c r="D30" s="98"/>
      <c r="E30" s="98">
        <f>E23+E25+E26+E27</f>
        <v>61407.738325440012</v>
      </c>
      <c r="F30" s="98">
        <f t="shared" ref="F30:I30" si="8">F23+F25+F26+F27</f>
        <v>66810.391671600009</v>
      </c>
      <c r="G30" s="98">
        <f t="shared" si="8"/>
        <v>68557.439640132026</v>
      </c>
      <c r="H30" s="98">
        <f t="shared" si="8"/>
        <v>72201.144952198927</v>
      </c>
      <c r="I30" s="98">
        <f t="shared" si="8"/>
        <v>75389.626442328808</v>
      </c>
      <c r="M30" s="98"/>
    </row>
    <row r="31" spans="2:13" x14ac:dyDescent="0.25">
      <c r="D31" s="87"/>
      <c r="M31" s="94"/>
    </row>
    <row r="32" spans="2:13" x14ac:dyDescent="0.25">
      <c r="B32" t="s">
        <v>81</v>
      </c>
      <c r="C32" s="58">
        <f>23186+3956+25809+12087-55888-33327-5966</f>
        <v>-30143</v>
      </c>
      <c r="D32" s="58">
        <f>22926+4106+22878+12352-46236-37720-5522</f>
        <v>-27216</v>
      </c>
      <c r="E32" s="79">
        <f>E33*E14</f>
        <v>-29393.280000000006</v>
      </c>
      <c r="F32" s="79">
        <f>F33*F14</f>
        <v>-32038.675200000012</v>
      </c>
      <c r="G32" s="79">
        <f>G33*G14</f>
        <v>-33960.995712000018</v>
      </c>
      <c r="H32" s="79">
        <f>H33*H14</f>
        <v>-35998.655454720021</v>
      </c>
      <c r="I32" s="79">
        <f>I33*I14</f>
        <v>-38158.574782003227</v>
      </c>
    </row>
    <row r="33" spans="2:13" x14ac:dyDescent="0.25">
      <c r="B33" s="54" t="s">
        <v>82</v>
      </c>
      <c r="D33" s="59">
        <f>D32/D14</f>
        <v>-0.10460691690945291</v>
      </c>
      <c r="E33" s="59">
        <f>D33</f>
        <v>-0.10460691690945291</v>
      </c>
      <c r="F33" s="59">
        <f t="shared" ref="F33:I33" si="9">E33</f>
        <v>-0.10460691690945291</v>
      </c>
      <c r="G33" s="59">
        <f t="shared" si="9"/>
        <v>-0.10460691690945291</v>
      </c>
      <c r="H33" s="59">
        <f t="shared" si="9"/>
        <v>-0.10460691690945291</v>
      </c>
      <c r="I33" s="59">
        <f t="shared" si="9"/>
        <v>-0.10460691690945291</v>
      </c>
      <c r="J33" s="87"/>
    </row>
    <row r="34" spans="2:13" x14ac:dyDescent="0.25">
      <c r="D34" s="87"/>
      <c r="E34" s="59"/>
      <c r="F34" s="59"/>
      <c r="G34" s="59"/>
      <c r="H34" s="59"/>
      <c r="I34" s="59"/>
      <c r="J34" s="87"/>
      <c r="K34" s="100"/>
      <c r="M34" s="59"/>
    </row>
    <row r="35" spans="2:13" x14ac:dyDescent="0.25">
      <c r="B35" s="51" t="str">
        <f>"Present value of UFCF on "&amp;TEXT(D7,"mmm dd, yyyy")&amp;" valuation date"</f>
        <v>Present value of UFCF on Feb 28, 2020 valuation date</v>
      </c>
      <c r="C35" s="71"/>
      <c r="D35" s="101"/>
      <c r="E35" s="71"/>
      <c r="F35" s="101"/>
      <c r="G35" s="101"/>
      <c r="H35" s="101"/>
      <c r="I35" s="101"/>
      <c r="J35" s="87"/>
    </row>
    <row r="36" spans="2:13" ht="17.25" x14ac:dyDescent="0.4">
      <c r="B36" s="11"/>
      <c r="D36" s="102" t="s">
        <v>114</v>
      </c>
      <c r="E36" s="102" t="s">
        <v>115</v>
      </c>
      <c r="F36" s="103" t="s">
        <v>116</v>
      </c>
      <c r="G36" s="103" t="s">
        <v>117</v>
      </c>
      <c r="H36" s="103" t="s">
        <v>118</v>
      </c>
      <c r="I36" s="103" t="s">
        <v>119</v>
      </c>
      <c r="J36" s="87"/>
    </row>
    <row r="37" spans="2:13" x14ac:dyDescent="0.25">
      <c r="B37" t="s">
        <v>120</v>
      </c>
      <c r="C37" s="210"/>
      <c r="D37" s="1">
        <f>D7</f>
        <v>43889</v>
      </c>
      <c r="E37" s="1">
        <f>IF($H$7=0,E12,AVERAGE(D37,E12))</f>
        <v>44104</v>
      </c>
      <c r="F37" s="1">
        <f>IF($H$7=0,F12,AVERAGE(F12,E12))</f>
        <v>44469</v>
      </c>
      <c r="G37" s="1">
        <f>IF($H$7=0,G12,AVERAGE(G12,F12))</f>
        <v>44834</v>
      </c>
      <c r="H37" s="1">
        <f>IF($H$7=0,H12,AVERAGE(H12,G12))</f>
        <v>45199</v>
      </c>
      <c r="I37" s="1">
        <f>IF($H$7=0,I12,AVERAGE(I12,H12))</f>
        <v>45565</v>
      </c>
      <c r="J37" s="87"/>
    </row>
    <row r="38" spans="2:13" x14ac:dyDescent="0.25">
      <c r="B38" t="s">
        <v>122</v>
      </c>
      <c r="C38" s="211">
        <f>D8</f>
        <v>0.58888888888888891</v>
      </c>
      <c r="D38" s="94"/>
      <c r="E38" s="212">
        <f>C38*E30</f>
        <v>36162.334791648005</v>
      </c>
      <c r="F38" s="212">
        <f>F30</f>
        <v>66810.391671600009</v>
      </c>
      <c r="G38" s="212">
        <f t="shared" ref="G38:I38" si="10">G30</f>
        <v>68557.439640132026</v>
      </c>
      <c r="H38" s="212">
        <f t="shared" si="10"/>
        <v>72201.144952198927</v>
      </c>
      <c r="I38" s="212">
        <f t="shared" si="10"/>
        <v>75389.626442328808</v>
      </c>
      <c r="J38" s="79"/>
      <c r="K38" t="s">
        <v>123</v>
      </c>
    </row>
    <row r="39" spans="2:13" ht="15" customHeight="1" x14ac:dyDescent="0.25">
      <c r="B39" s="11" t="s">
        <v>124</v>
      </c>
      <c r="C39" s="107"/>
      <c r="E39" s="98">
        <f>E38/(1+$H$4)^((E37-$D$37)/365)</f>
        <v>34372.468070995172</v>
      </c>
      <c r="F39" s="98">
        <f>F38/(1+$H$4)^((F37-$D$37)/365)</f>
        <v>58260.17361403392</v>
      </c>
      <c r="G39" s="98">
        <f t="shared" ref="G39:I39" si="11">G38/(1+$H$4)^((G37-$D$37)/365)</f>
        <v>54847.375213211897</v>
      </c>
      <c r="H39" s="98">
        <f t="shared" si="11"/>
        <v>52993.041393948159</v>
      </c>
      <c r="I39" s="98">
        <f t="shared" si="11"/>
        <v>50752.485512159132</v>
      </c>
      <c r="J39" s="79"/>
    </row>
    <row r="41" spans="2:13" x14ac:dyDescent="0.25">
      <c r="B41" s="51" t="s">
        <v>125</v>
      </c>
      <c r="C41" s="51"/>
      <c r="E41" s="51" t="s">
        <v>126</v>
      </c>
      <c r="F41" s="71"/>
      <c r="G41" s="71"/>
      <c r="H41" s="71"/>
      <c r="I41" s="71"/>
    </row>
    <row r="42" spans="2:13" x14ac:dyDescent="0.25">
      <c r="B42" t="s">
        <v>127</v>
      </c>
      <c r="C42" s="55">
        <v>0.03</v>
      </c>
      <c r="E42" t="s">
        <v>128</v>
      </c>
      <c r="I42" s="94">
        <f>I16</f>
        <v>102138.57032235501</v>
      </c>
      <c r="J42" s="94"/>
    </row>
    <row r="43" spans="2:13" x14ac:dyDescent="0.25">
      <c r="B43" s="109" t="str">
        <f>YEAR(I12)&amp;" FCF x (1+g)"</f>
        <v>2024 FCF x (1+g)</v>
      </c>
      <c r="C43" s="94">
        <f>I30*(1+C42)</f>
        <v>77651.315235598668</v>
      </c>
      <c r="E43" t="s">
        <v>129</v>
      </c>
      <c r="I43" s="111">
        <v>12.5</v>
      </c>
      <c r="J43" s="111"/>
    </row>
    <row r="44" spans="2:13" x14ac:dyDescent="0.25">
      <c r="B44" t="str">
        <f>"Terminal value in "&amp;YEAR(I12)</f>
        <v>Terminal value in 2024</v>
      </c>
      <c r="C44" s="94">
        <f>C43/(H4-C42)</f>
        <v>1294188.5872599778</v>
      </c>
      <c r="E44" t="str">
        <f>"Terminal value in "&amp;YEAR(I12)</f>
        <v>Terminal value in 2024</v>
      </c>
      <c r="I44" s="94">
        <f>I42*I43</f>
        <v>1276732.1290294377</v>
      </c>
      <c r="J44" s="94"/>
    </row>
    <row r="45" spans="2:13" x14ac:dyDescent="0.25">
      <c r="B45" t="s">
        <v>130</v>
      </c>
      <c r="C45" s="94">
        <f>C44/(1+H4)^((I37-D37)/365)</f>
        <v>871251.00129206502</v>
      </c>
      <c r="E45" t="s">
        <v>130</v>
      </c>
      <c r="I45" s="94">
        <f>I44/(1+H4)^((I37-D37)/365)</f>
        <v>859499.26985038142</v>
      </c>
      <c r="J45" s="94"/>
    </row>
    <row r="46" spans="2:13" x14ac:dyDescent="0.25">
      <c r="B46" t="s">
        <v>131</v>
      </c>
      <c r="C46" s="79">
        <f>SUM(E39:I39)</f>
        <v>251225.54380434827</v>
      </c>
      <c r="E46" t="s">
        <v>131</v>
      </c>
      <c r="I46" s="94">
        <f>C46</f>
        <v>251225.54380434827</v>
      </c>
      <c r="J46" s="94"/>
    </row>
    <row r="47" spans="2:13" x14ac:dyDescent="0.25">
      <c r="B47" s="11" t="s">
        <v>132</v>
      </c>
      <c r="C47" s="113">
        <f>SUM(C45:C46)</f>
        <v>1122476.5450964132</v>
      </c>
      <c r="D47" s="31"/>
      <c r="E47" s="11" t="s">
        <v>133</v>
      </c>
      <c r="I47" s="113">
        <f>SUM(I45:I46)</f>
        <v>1110724.8136547296</v>
      </c>
      <c r="J47" s="113"/>
    </row>
    <row r="48" spans="2:13" x14ac:dyDescent="0.25">
      <c r="D48" s="92"/>
    </row>
    <row r="49" spans="2:12" x14ac:dyDescent="0.25">
      <c r="B49" s="114" t="s">
        <v>134</v>
      </c>
      <c r="C49" s="116">
        <f>C45/$C$47</f>
        <v>0.77618637565137749</v>
      </c>
      <c r="E49" s="114" t="s">
        <v>134</v>
      </c>
      <c r="I49" s="116">
        <f>I45/$I$47</f>
        <v>0.77381837452814661</v>
      </c>
      <c r="J49" s="116"/>
    </row>
    <row r="50" spans="2:12" x14ac:dyDescent="0.25">
      <c r="B50" s="114" t="s">
        <v>135</v>
      </c>
      <c r="C50" s="116">
        <f t="shared" ref="C50" si="12">C46/$C$47</f>
        <v>0.22381362434862251</v>
      </c>
      <c r="E50" s="114" t="s">
        <v>135</v>
      </c>
      <c r="G50" s="117"/>
      <c r="I50" s="116">
        <f t="shared" ref="I50" si="13">I46/$I$47</f>
        <v>0.22618162547185344</v>
      </c>
      <c r="J50" s="92"/>
    </row>
    <row r="51" spans="2:12" x14ac:dyDescent="0.25">
      <c r="B51" s="114" t="s">
        <v>136</v>
      </c>
      <c r="C51" s="121">
        <f>C44/I16</f>
        <v>12.670909561152527</v>
      </c>
      <c r="E51" t="s">
        <v>137</v>
      </c>
      <c r="I51" s="120">
        <f>(H4-I38/I44)/(1+I38/I44)</f>
        <v>2.9225374867615402E-2</v>
      </c>
      <c r="J51" s="120"/>
    </row>
    <row r="52" spans="2:12" x14ac:dyDescent="0.25">
      <c r="B52" s="114"/>
      <c r="C52" s="24"/>
      <c r="D52" s="121"/>
      <c r="I52" s="120"/>
      <c r="J52" s="120"/>
    </row>
    <row r="53" spans="2:12" x14ac:dyDescent="0.25">
      <c r="B53" s="51" t="s">
        <v>138</v>
      </c>
      <c r="C53" s="71"/>
      <c r="E53" s="51" t="s">
        <v>139</v>
      </c>
      <c r="F53" s="71"/>
      <c r="G53" s="51"/>
      <c r="H53" s="71"/>
      <c r="I53" s="71"/>
    </row>
    <row r="54" spans="2:12" x14ac:dyDescent="0.25">
      <c r="B54" t="s">
        <v>140</v>
      </c>
      <c r="C54" s="199" t="s">
        <v>141</v>
      </c>
      <c r="L54" s="56"/>
    </row>
    <row r="55" spans="2:12" x14ac:dyDescent="0.25">
      <c r="B55" s="122" t="s">
        <v>142</v>
      </c>
      <c r="C55" s="197">
        <v>43827</v>
      </c>
      <c r="G55" s="30" t="s">
        <v>140</v>
      </c>
      <c r="H55" s="123" t="s">
        <v>143</v>
      </c>
      <c r="I55" s="123" t="s">
        <v>144</v>
      </c>
    </row>
    <row r="56" spans="2:12" x14ac:dyDescent="0.25">
      <c r="B56" s="124" t="s">
        <v>145</v>
      </c>
      <c r="C56" s="125"/>
      <c r="E56" t="s">
        <v>146</v>
      </c>
      <c r="G56" s="199" t="s">
        <v>141</v>
      </c>
      <c r="H56" s="199">
        <v>43847</v>
      </c>
      <c r="I56" s="127">
        <v>4375.4799999999996</v>
      </c>
      <c r="J56" s="127"/>
    </row>
    <row r="57" spans="2:12" x14ac:dyDescent="0.25">
      <c r="B57" s="54" t="s">
        <v>147</v>
      </c>
      <c r="C57" s="97">
        <f>4990+10224+93078</f>
        <v>108292</v>
      </c>
      <c r="E57" s="122" t="s">
        <v>148</v>
      </c>
      <c r="G57" s="199" t="s">
        <v>141</v>
      </c>
      <c r="H57" s="199">
        <v>43827</v>
      </c>
      <c r="I57" s="127">
        <v>96.02</v>
      </c>
      <c r="J57" s="128"/>
    </row>
    <row r="58" spans="2:12" ht="15" customHeight="1" x14ac:dyDescent="0.25">
      <c r="B58" s="54" t="s">
        <v>149</v>
      </c>
      <c r="C58" s="97">
        <v>0</v>
      </c>
      <c r="E58" s="122" t="s">
        <v>150</v>
      </c>
      <c r="G58" s="199"/>
      <c r="H58" s="199"/>
      <c r="I58" s="213">
        <v>0</v>
      </c>
      <c r="K58" t="s">
        <v>181</v>
      </c>
    </row>
    <row r="59" spans="2:12" ht="15" customHeight="1" x14ac:dyDescent="0.25">
      <c r="B59" s="54" t="s">
        <v>151</v>
      </c>
      <c r="C59" s="97">
        <v>0</v>
      </c>
      <c r="E59" t="s">
        <v>149</v>
      </c>
      <c r="G59" s="199"/>
      <c r="H59" s="199"/>
      <c r="I59" s="213">
        <v>0</v>
      </c>
      <c r="K59" t="s">
        <v>182</v>
      </c>
    </row>
    <row r="60" spans="2:12" x14ac:dyDescent="0.25">
      <c r="B60" s="131" t="s">
        <v>152</v>
      </c>
      <c r="C60" s="97">
        <v>0</v>
      </c>
      <c r="E60" t="s">
        <v>153</v>
      </c>
      <c r="G60" s="199"/>
      <c r="H60" s="199"/>
      <c r="I60" s="213">
        <v>0</v>
      </c>
      <c r="K60" t="s">
        <v>183</v>
      </c>
    </row>
    <row r="61" spans="2:12" ht="15" customHeight="1" x14ac:dyDescent="0.25">
      <c r="B61" s="124" t="s">
        <v>154</v>
      </c>
      <c r="E61" s="132" t="s">
        <v>155</v>
      </c>
      <c r="I61" s="214">
        <f>SUM(I56:I60)</f>
        <v>4471.5</v>
      </c>
      <c r="J61" s="134"/>
    </row>
    <row r="62" spans="2:12" x14ac:dyDescent="0.25">
      <c r="B62" s="135" t="s">
        <v>156</v>
      </c>
      <c r="C62" s="97">
        <f>39771+67391+99899</f>
        <v>207061</v>
      </c>
      <c r="J62" s="136"/>
    </row>
    <row r="63" spans="2:12" x14ac:dyDescent="0.25">
      <c r="B63" s="135" t="s">
        <v>157</v>
      </c>
      <c r="C63" s="97">
        <v>0</v>
      </c>
      <c r="J63" s="136"/>
    </row>
    <row r="64" spans="2:12" x14ac:dyDescent="0.25">
      <c r="J64" s="137"/>
    </row>
    <row r="65" spans="2:17" x14ac:dyDescent="0.25">
      <c r="B65" s="138" t="s">
        <v>138</v>
      </c>
      <c r="C65" s="53">
        <f>SUM(C57:C60)-SUM(C62:C63)</f>
        <v>-98769</v>
      </c>
    </row>
    <row r="67" spans="2:17" x14ac:dyDescent="0.25">
      <c r="B67" s="51" t="s">
        <v>158</v>
      </c>
      <c r="C67" s="71"/>
      <c r="D67" s="71"/>
    </row>
    <row r="68" spans="2:17" ht="17.25" x14ac:dyDescent="0.4">
      <c r="C68" s="140" t="s">
        <v>159</v>
      </c>
      <c r="D68" s="140" t="s">
        <v>98</v>
      </c>
    </row>
    <row r="69" spans="2:17" x14ac:dyDescent="0.25">
      <c r="B69" t="s">
        <v>160</v>
      </c>
      <c r="C69" s="215">
        <f>C47</f>
        <v>1122476.5450964132</v>
      </c>
      <c r="D69" s="215">
        <f>I47</f>
        <v>1110724.8136547296</v>
      </c>
    </row>
    <row r="70" spans="2:17" x14ac:dyDescent="0.25">
      <c r="B70" t="s">
        <v>138</v>
      </c>
      <c r="C70" s="216">
        <f>C65</f>
        <v>-98769</v>
      </c>
      <c r="D70" s="216">
        <f>C70</f>
        <v>-98769</v>
      </c>
    </row>
    <row r="71" spans="2:17" x14ac:dyDescent="0.25">
      <c r="B71" t="s">
        <v>161</v>
      </c>
      <c r="C71" s="217">
        <f>C69-C70</f>
        <v>1221245.5450964132</v>
      </c>
      <c r="D71" s="217">
        <f>D69-D70</f>
        <v>1209493.8136547296</v>
      </c>
    </row>
    <row r="72" spans="2:17" x14ac:dyDescent="0.25">
      <c r="B72" t="s">
        <v>139</v>
      </c>
      <c r="C72" s="217">
        <f>I61</f>
        <v>4471.5</v>
      </c>
      <c r="D72" s="217">
        <f>C72</f>
        <v>4471.5</v>
      </c>
    </row>
    <row r="73" spans="2:17" x14ac:dyDescent="0.25">
      <c r="B73" s="11" t="s">
        <v>162</v>
      </c>
      <c r="C73" s="145">
        <f>C71/C72</f>
        <v>273.11764398891046</v>
      </c>
      <c r="D73" s="145">
        <f t="shared" ref="D73" si="14">D71/D72</f>
        <v>270.48950322145356</v>
      </c>
    </row>
    <row r="74" spans="2:17" x14ac:dyDescent="0.25">
      <c r="B74" s="11"/>
      <c r="C74" s="145"/>
      <c r="D74" s="145"/>
    </row>
    <row r="75" spans="2:17" x14ac:dyDescent="0.25">
      <c r="B75" s="30" t="s">
        <v>163</v>
      </c>
      <c r="C75" s="123" t="s">
        <v>159</v>
      </c>
      <c r="D75" s="123" t="s">
        <v>98</v>
      </c>
      <c r="E75" s="146"/>
      <c r="F75" s="146"/>
    </row>
    <row r="76" spans="2:17" x14ac:dyDescent="0.25">
      <c r="B76" t="s">
        <v>164</v>
      </c>
      <c r="C76" s="218">
        <f>C69/$E$14</f>
        <v>3.9947501839097321</v>
      </c>
      <c r="D76" s="218">
        <f>D69/$E$14</f>
        <v>3.9529272776378765</v>
      </c>
      <c r="E76" s="146"/>
      <c r="F76" s="146"/>
    </row>
    <row r="77" spans="2:17" x14ac:dyDescent="0.25">
      <c r="B77" t="s">
        <v>165</v>
      </c>
      <c r="C77" s="146">
        <f>C69/$E$16</f>
        <v>13.775000634171491</v>
      </c>
      <c r="D77" s="146">
        <f>D69/$E$16</f>
        <v>13.630783715992679</v>
      </c>
      <c r="E77" s="146"/>
      <c r="F77" s="146"/>
      <c r="G77" s="149"/>
      <c r="H77" s="149"/>
    </row>
    <row r="78" spans="2:17" x14ac:dyDescent="0.25">
      <c r="B78" s="79" t="s">
        <v>166</v>
      </c>
      <c r="C78" s="146">
        <f>C69/$E$18</f>
        <v>16.23882188581192</v>
      </c>
      <c r="D78" s="146">
        <f>D69/$E$18</f>
        <v>16.068810071698685</v>
      </c>
      <c r="E78" s="146"/>
      <c r="F78" s="150"/>
    </row>
    <row r="79" spans="2:17" x14ac:dyDescent="0.25">
      <c r="F79" s="149"/>
    </row>
    <row r="80" spans="2:17" x14ac:dyDescent="0.25">
      <c r="B80" s="51" t="s">
        <v>167</v>
      </c>
      <c r="C80" s="51"/>
      <c r="D80" s="51"/>
      <c r="E80" s="51"/>
      <c r="F80" s="51"/>
      <c r="G80" s="51"/>
      <c r="H80" s="51"/>
      <c r="I80" s="51"/>
      <c r="J80" s="51"/>
      <c r="K80" s="51"/>
      <c r="L80" s="51"/>
      <c r="M80" s="51"/>
      <c r="N80" s="51"/>
      <c r="O80" s="51"/>
      <c r="P80" s="51"/>
      <c r="Q80" s="51"/>
    </row>
    <row r="81" spans="2:17" x14ac:dyDescent="0.25">
      <c r="B81" s="11"/>
    </row>
    <row r="82" spans="2:17" ht="17.25" customHeight="1" x14ac:dyDescent="0.4">
      <c r="B82" s="151"/>
      <c r="C82" s="11"/>
      <c r="D82" s="152" t="s">
        <v>162</v>
      </c>
      <c r="E82" s="50"/>
      <c r="F82" s="50"/>
      <c r="G82" s="50"/>
      <c r="H82" s="50"/>
      <c r="I82" s="50"/>
      <c r="J82" s="153"/>
      <c r="L82" s="152" t="s">
        <v>168</v>
      </c>
      <c r="M82" s="50"/>
      <c r="N82" s="50"/>
      <c r="O82" s="50"/>
      <c r="P82" s="50"/>
      <c r="Q82" s="50"/>
    </row>
    <row r="83" spans="2:17" ht="15" customHeight="1" x14ac:dyDescent="0.25">
      <c r="B83" s="151"/>
      <c r="D83" s="122"/>
      <c r="E83" s="2" t="s">
        <v>169</v>
      </c>
      <c r="F83" s="2"/>
      <c r="G83" s="2"/>
      <c r="H83" s="2"/>
      <c r="I83" s="2"/>
      <c r="J83" s="154"/>
      <c r="L83" s="122"/>
      <c r="M83" s="2" t="s">
        <v>169</v>
      </c>
      <c r="N83" s="2"/>
      <c r="O83" s="2"/>
      <c r="P83" s="2"/>
      <c r="Q83" s="2"/>
    </row>
    <row r="84" spans="2:17" ht="15" customHeight="1" x14ac:dyDescent="0.25">
      <c r="B84" s="151"/>
      <c r="C84" s="155"/>
      <c r="D84" s="156">
        <f>C73</f>
        <v>273.11764398891046</v>
      </c>
      <c r="E84" s="157">
        <f t="shared" ref="E84" si="15">F84-0.005</f>
        <v>1.9999999999999997E-2</v>
      </c>
      <c r="F84" s="158">
        <f>G84-0.005</f>
        <v>2.4999999999999998E-2</v>
      </c>
      <c r="G84" s="159">
        <v>0.03</v>
      </c>
      <c r="H84" s="158">
        <f>G84+0.005</f>
        <v>3.4999999999999996E-2</v>
      </c>
      <c r="I84" s="158">
        <f t="shared" ref="I84" si="16">H84+0.005</f>
        <v>3.9999999999999994E-2</v>
      </c>
      <c r="J84" s="160"/>
      <c r="L84" s="161">
        <f>C77</f>
        <v>13.775000634171491</v>
      </c>
      <c r="M84" s="157">
        <f t="shared" ref="M84" si="17">N84-0.005</f>
        <v>1.9999999999999997E-2</v>
      </c>
      <c r="N84" s="158">
        <f>O84-0.005</f>
        <v>2.4999999999999998E-2</v>
      </c>
      <c r="O84" s="159">
        <v>0.03</v>
      </c>
      <c r="P84" s="158">
        <f>O84+0.005</f>
        <v>3.4999999999999996E-2</v>
      </c>
      <c r="Q84" s="158">
        <f t="shared" ref="Q84" si="18">P84+0.005</f>
        <v>3.9999999999999994E-2</v>
      </c>
    </row>
    <row r="85" spans="2:17" ht="15" customHeight="1" x14ac:dyDescent="0.25">
      <c r="B85" s="151"/>
      <c r="D85" s="162">
        <f t="shared" ref="D85" si="19">D86+0.005</f>
        <v>0.1</v>
      </c>
      <c r="E85" s="163">
        <f t="dataTable" ref="E85:I89" dt2D="1" dtr="1" r1="C42" r2="H4"/>
        <v>215.68062019924798</v>
      </c>
      <c r="F85" s="163">
        <v>225.65770486167816</v>
      </c>
      <c r="G85" s="163">
        <v>237.06008733302698</v>
      </c>
      <c r="H85" s="163">
        <v>250.21668249227559</v>
      </c>
      <c r="I85" s="163">
        <v>265.56604351139896</v>
      </c>
      <c r="J85" s="164"/>
      <c r="L85" s="162">
        <f t="shared" ref="L85" si="20">L86+0.005</f>
        <v>0.1</v>
      </c>
      <c r="M85" s="165">
        <f t="dataTable" ref="M85:Q89" dt2D="1" dtr="1" r1="C42" r2="H4" ca="1"/>
        <v>10.623194359987965</v>
      </c>
      <c r="N85" s="165">
        <v>11.170678125028855</v>
      </c>
      <c r="O85" s="165">
        <v>11.796373856504161</v>
      </c>
      <c r="P85" s="165">
        <v>12.518330469744898</v>
      </c>
      <c r="Q85" s="165">
        <v>13.360613185192424</v>
      </c>
    </row>
    <row r="86" spans="2:17" ht="15" customHeight="1" x14ac:dyDescent="0.25">
      <c r="B86" s="151"/>
      <c r="D86" s="162">
        <f>D87+0.005</f>
        <v>9.5000000000000001E-2</v>
      </c>
      <c r="E86" s="163">
        <v>228.73641003115705</v>
      </c>
      <c r="F86" s="163">
        <v>240.32691025928392</v>
      </c>
      <c r="G86" s="163">
        <v>253.70056436866108</v>
      </c>
      <c r="H86" s="163">
        <v>269.30316082960104</v>
      </c>
      <c r="I86" s="163">
        <v>287.74259301071197</v>
      </c>
      <c r="J86" s="164"/>
      <c r="L86" s="162">
        <f>L87+0.005</f>
        <v>9.5000000000000001E-2</v>
      </c>
      <c r="M86" s="165">
        <v>11.339619369356896</v>
      </c>
      <c r="N86" s="165">
        <v>11.975637897644754</v>
      </c>
      <c r="O86" s="165">
        <v>12.70950543028459</v>
      </c>
      <c r="P86" s="165">
        <v>13.565684218364398</v>
      </c>
      <c r="Q86" s="165">
        <v>14.577531877004173</v>
      </c>
    </row>
    <row r="87" spans="2:17" ht="15" customHeight="1" x14ac:dyDescent="0.25">
      <c r="B87" s="151"/>
      <c r="C87" s="155" t="s">
        <v>170</v>
      </c>
      <c r="D87" s="166">
        <v>0.09</v>
      </c>
      <c r="E87" s="163">
        <v>243.66113413110557</v>
      </c>
      <c r="F87" s="163">
        <v>257.25644637316935</v>
      </c>
      <c r="G87" s="163">
        <v>273.11764398891046</v>
      </c>
      <c r="H87" s="163">
        <v>291.86269571660455</v>
      </c>
      <c r="I87" s="163">
        <v>314.35675778983745</v>
      </c>
      <c r="J87" s="164"/>
      <c r="K87" s="155" t="s">
        <v>170</v>
      </c>
      <c r="L87" s="166">
        <v>0.09</v>
      </c>
      <c r="M87" s="165">
        <v>12.158600506522676</v>
      </c>
      <c r="N87" s="165">
        <v>12.904631334668281</v>
      </c>
      <c r="O87" s="165">
        <v>13.775000634171491</v>
      </c>
      <c r="P87" s="165">
        <v>14.803618897220739</v>
      </c>
      <c r="Q87" s="165">
        <v>16.037960812879835</v>
      </c>
    </row>
    <row r="88" spans="2:17" ht="15" customHeight="1" x14ac:dyDescent="0.25">
      <c r="B88" s="151"/>
      <c r="D88" s="162">
        <f>D87-0.005</f>
        <v>8.4999999999999992E-2</v>
      </c>
      <c r="E88" s="163">
        <v>260.88617137072021</v>
      </c>
      <c r="F88" s="163">
        <v>277.01147494749239</v>
      </c>
      <c r="G88" s="163">
        <v>296.06865190185954</v>
      </c>
      <c r="H88" s="163">
        <v>318.93726424710013</v>
      </c>
      <c r="I88" s="163">
        <v>346.88779044683855</v>
      </c>
      <c r="J88" s="164"/>
      <c r="L88" s="162">
        <f>L87-0.005</f>
        <v>8.4999999999999992E-2</v>
      </c>
      <c r="M88" s="165">
        <v>13.103809308491162</v>
      </c>
      <c r="N88" s="165">
        <v>13.988671190828663</v>
      </c>
      <c r="O88" s="165">
        <v>15.034417051772985</v>
      </c>
      <c r="P88" s="165">
        <v>16.289312084906172</v>
      </c>
      <c r="Q88" s="165">
        <v>17.823072680957839</v>
      </c>
    </row>
    <row r="89" spans="2:17" ht="15" customHeight="1" x14ac:dyDescent="0.25">
      <c r="B89" s="167" t="s">
        <v>171</v>
      </c>
      <c r="D89" s="168">
        <f>D88-0.005</f>
        <v>7.9999999999999988E-2</v>
      </c>
      <c r="E89" s="163">
        <v>280.98669607534595</v>
      </c>
      <c r="F89" s="163">
        <v>300.36267336606056</v>
      </c>
      <c r="G89" s="163">
        <v>323.61384611491815</v>
      </c>
      <c r="H89" s="163">
        <v>352.03194614129967</v>
      </c>
      <c r="I89" s="163">
        <v>387.55457117427648</v>
      </c>
      <c r="J89" s="164"/>
      <c r="L89" s="168">
        <f>L88-0.005</f>
        <v>7.9999999999999988E-2</v>
      </c>
      <c r="M89" s="165">
        <v>14.206807961597256</v>
      </c>
      <c r="N89" s="165">
        <v>15.270047711222009</v>
      </c>
      <c r="O89" s="165">
        <v>16.545935410771719</v>
      </c>
      <c r="P89" s="165">
        <v>18.105353710221362</v>
      </c>
      <c r="Q89" s="165">
        <v>20.054626584533416</v>
      </c>
    </row>
    <row r="90" spans="2:17" ht="15" customHeight="1" x14ac:dyDescent="0.25">
      <c r="B90" s="167" t="s">
        <v>172</v>
      </c>
      <c r="E90" s="169"/>
      <c r="F90" s="169"/>
      <c r="G90" s="169"/>
      <c r="H90" s="169"/>
      <c r="I90" s="169"/>
      <c r="J90" s="170"/>
    </row>
    <row r="91" spans="2:17" ht="17.25" customHeight="1" x14ac:dyDescent="0.4">
      <c r="B91" s="151"/>
      <c r="D91" s="152" t="s">
        <v>162</v>
      </c>
      <c r="E91" s="50"/>
      <c r="F91" s="50"/>
      <c r="G91" s="50"/>
      <c r="H91" s="50"/>
      <c r="I91" s="50"/>
      <c r="J91" s="153"/>
      <c r="L91" s="152" t="s">
        <v>168</v>
      </c>
      <c r="M91" s="50"/>
      <c r="N91" s="50"/>
      <c r="O91" s="50"/>
      <c r="P91" s="50"/>
      <c r="Q91" s="50"/>
    </row>
    <row r="92" spans="2:17" ht="15" customHeight="1" x14ac:dyDescent="0.25">
      <c r="B92" s="151"/>
      <c r="E92" s="2" t="s">
        <v>173</v>
      </c>
      <c r="F92" s="2"/>
      <c r="G92" s="2"/>
      <c r="H92" s="2"/>
      <c r="I92" s="2"/>
      <c r="J92" s="154"/>
      <c r="M92" s="2" t="s">
        <v>173</v>
      </c>
      <c r="N92" s="2"/>
      <c r="O92" s="2"/>
      <c r="P92" s="2"/>
      <c r="Q92" s="2"/>
    </row>
    <row r="93" spans="2:17" ht="15" customHeight="1" x14ac:dyDescent="0.25">
      <c r="B93" s="151"/>
      <c r="D93" s="171">
        <f>D73</f>
        <v>270.48950322145356</v>
      </c>
      <c r="E93" s="172">
        <f t="shared" ref="E93" si="21">F93-0.5</f>
        <v>11.5</v>
      </c>
      <c r="F93" s="172">
        <f>G93-0.5</f>
        <v>12</v>
      </c>
      <c r="G93" s="173">
        <v>12.5</v>
      </c>
      <c r="H93" s="172">
        <f>G93+0.5</f>
        <v>13</v>
      </c>
      <c r="I93" s="172">
        <f t="shared" ref="I93" si="22">H93+0.5</f>
        <v>13.5</v>
      </c>
      <c r="J93" s="174"/>
      <c r="L93" s="161">
        <f>D77</f>
        <v>13.630783715992679</v>
      </c>
      <c r="M93" s="172">
        <f t="shared" ref="M93" si="23">N93-0.5</f>
        <v>11.5</v>
      </c>
      <c r="N93" s="172">
        <f>O93-0.5</f>
        <v>12</v>
      </c>
      <c r="O93" s="173">
        <v>12.5</v>
      </c>
      <c r="P93" s="172">
        <f>O93+0.5</f>
        <v>13</v>
      </c>
      <c r="Q93" s="172">
        <f t="shared" ref="Q93" si="24">P93+0.5</f>
        <v>13.5</v>
      </c>
    </row>
    <row r="94" spans="2:17" ht="15" customHeight="1" x14ac:dyDescent="0.25">
      <c r="B94" s="151"/>
      <c r="D94" s="162">
        <f t="shared" ref="D94" si="25">D95+0.005</f>
        <v>0.1</v>
      </c>
      <c r="E94" s="163">
        <f t="dataTable" ref="E94:I98" dt2D="1" dtr="1" r1="I43" r2="H4" ca="1"/>
        <v>246.48594791760073</v>
      </c>
      <c r="F94" s="163">
        <v>253.85888293046119</v>
      </c>
      <c r="G94" s="163">
        <v>261.23181794332169</v>
      </c>
      <c r="H94" s="163">
        <v>268.60475295618215</v>
      </c>
      <c r="I94" s="163">
        <v>275.97768796904262</v>
      </c>
      <c r="J94" s="164"/>
      <c r="L94" s="162">
        <f t="shared" ref="L94" si="26">L95+0.005</f>
        <v>0.1</v>
      </c>
      <c r="M94" s="165">
        <f t="dataTable" ref="M94:Q98" dt2D="1" dtr="1" r1="I43" r2="H4" ca="1"/>
        <v>12.31360968402254</v>
      </c>
      <c r="N94" s="165">
        <v>12.718193022424265</v>
      </c>
      <c r="O94" s="165">
        <v>13.122776360825991</v>
      </c>
      <c r="P94" s="165">
        <v>13.527359699227718</v>
      </c>
      <c r="Q94" s="165">
        <v>13.931943037629443</v>
      </c>
    </row>
    <row r="95" spans="2:17" ht="15" customHeight="1" x14ac:dyDescent="0.25">
      <c r="B95" s="151"/>
      <c r="D95" s="162">
        <f>D96+0.005</f>
        <v>9.5000000000000001E-2</v>
      </c>
      <c r="E95" s="163">
        <v>250.74590014988414</v>
      </c>
      <c r="F95" s="163">
        <v>258.27469645473457</v>
      </c>
      <c r="G95" s="163">
        <v>265.80349275958497</v>
      </c>
      <c r="H95" s="163">
        <v>273.33228906443537</v>
      </c>
      <c r="I95" s="163">
        <v>280.86108536928577</v>
      </c>
      <c r="J95" s="164"/>
      <c r="L95" s="162">
        <f>L96+0.005</f>
        <v>9.5000000000000001E-2</v>
      </c>
      <c r="M95" s="165">
        <v>12.54737082426897</v>
      </c>
      <c r="N95" s="165">
        <v>12.960506914286018</v>
      </c>
      <c r="O95" s="165">
        <v>13.373643004303066</v>
      </c>
      <c r="P95" s="165">
        <v>13.78677909432011</v>
      </c>
      <c r="Q95" s="165">
        <v>14.199915184337158</v>
      </c>
    </row>
    <row r="96" spans="2:17" ht="15" customHeight="1" x14ac:dyDescent="0.25">
      <c r="B96" s="151"/>
      <c r="C96" s="155" t="s">
        <v>170</v>
      </c>
      <c r="D96" s="166">
        <v>0.09</v>
      </c>
      <c r="E96" s="163">
        <v>255.11212614708694</v>
      </c>
      <c r="F96" s="163">
        <v>262.80081468427022</v>
      </c>
      <c r="G96" s="163">
        <v>270.48950322145356</v>
      </c>
      <c r="H96" s="163">
        <v>278.17819175863684</v>
      </c>
      <c r="I96" s="163">
        <v>285.86688029582018</v>
      </c>
      <c r="J96" s="164"/>
      <c r="K96" s="155" t="s">
        <v>170</v>
      </c>
      <c r="L96" s="166">
        <v>0.09</v>
      </c>
      <c r="M96" s="165">
        <v>12.786963644100345</v>
      </c>
      <c r="N96" s="165">
        <v>13.20887368004651</v>
      </c>
      <c r="O96" s="165">
        <v>13.630783715992679</v>
      </c>
      <c r="P96" s="165">
        <v>14.052693751938843</v>
      </c>
      <c r="Q96" s="165">
        <v>14.474603787885012</v>
      </c>
    </row>
    <row r="97" spans="2:17" ht="15" customHeight="1" x14ac:dyDescent="0.25">
      <c r="B97" s="151"/>
      <c r="D97" s="162">
        <f>D96-0.005</f>
        <v>8.4999999999999992E-2</v>
      </c>
      <c r="E97" s="163">
        <v>259.58782156830137</v>
      </c>
      <c r="F97" s="163">
        <v>267.44055674137559</v>
      </c>
      <c r="G97" s="163">
        <v>275.29329191444981</v>
      </c>
      <c r="H97" s="163">
        <v>283.14602708752403</v>
      </c>
      <c r="I97" s="163">
        <v>290.99876226059826</v>
      </c>
      <c r="J97" s="164"/>
      <c r="L97" s="162">
        <f>L96-0.005</f>
        <v>8.4999999999999992E-2</v>
      </c>
      <c r="M97" s="165">
        <v>13.032563502504866</v>
      </c>
      <c r="N97" s="165">
        <v>13.463475453629524</v>
      </c>
      <c r="O97" s="165">
        <v>13.894387404754186</v>
      </c>
      <c r="P97" s="165">
        <v>14.325299355878846</v>
      </c>
      <c r="Q97" s="165">
        <v>14.756211307003507</v>
      </c>
    </row>
    <row r="98" spans="2:17" ht="15" customHeight="1" x14ac:dyDescent="0.25">
      <c r="B98" s="151"/>
      <c r="D98" s="168">
        <f>D97-0.005</f>
        <v>7.9999999999999988E-2</v>
      </c>
      <c r="E98" s="163">
        <v>264.17629406737831</v>
      </c>
      <c r="F98" s="163">
        <v>272.1973581186349</v>
      </c>
      <c r="G98" s="163">
        <v>280.21842216989148</v>
      </c>
      <c r="H98" s="163">
        <v>288.23948622114807</v>
      </c>
      <c r="I98" s="163">
        <v>296.2605502724046</v>
      </c>
      <c r="J98" s="164"/>
      <c r="L98" s="168">
        <f>L97-0.005</f>
        <v>7.9999999999999988E-2</v>
      </c>
      <c r="M98" s="165">
        <v>13.284351904084826</v>
      </c>
      <c r="N98" s="165">
        <v>13.724500754675661</v>
      </c>
      <c r="O98" s="165">
        <v>14.164649605266495</v>
      </c>
      <c r="P98" s="165">
        <v>14.604798455857331</v>
      </c>
      <c r="Q98" s="165">
        <v>15.044947306448167</v>
      </c>
    </row>
    <row r="99" spans="2:17" x14ac:dyDescent="0.25">
      <c r="J99" s="175"/>
    </row>
    <row r="100" spans="2:17" x14ac:dyDescent="0.25">
      <c r="B100" s="176" t="s">
        <v>174</v>
      </c>
      <c r="C100" s="176"/>
      <c r="D100" s="176"/>
      <c r="E100" s="176"/>
      <c r="G100" s="176" t="s">
        <v>175</v>
      </c>
      <c r="H100" s="176"/>
      <c r="I100" s="176"/>
      <c r="J100" s="177"/>
      <c r="K100" s="176"/>
      <c r="L100" s="176"/>
      <c r="M100" s="176"/>
      <c r="N100" s="176"/>
      <c r="O100" s="176"/>
      <c r="P100" s="176"/>
    </row>
    <row r="101" spans="2:17" x14ac:dyDescent="0.25">
      <c r="J101" s="175"/>
    </row>
    <row r="102" spans="2:17" x14ac:dyDescent="0.25">
      <c r="J102" s="175"/>
    </row>
    <row r="103" spans="2:17" x14ac:dyDescent="0.25">
      <c r="J103" s="175"/>
    </row>
    <row r="104" spans="2:17" x14ac:dyDescent="0.25">
      <c r="J104" s="175"/>
    </row>
    <row r="105" spans="2:17" x14ac:dyDescent="0.25">
      <c r="J105" s="175"/>
    </row>
    <row r="106" spans="2:17" x14ac:dyDescent="0.25">
      <c r="J106" s="175"/>
    </row>
    <row r="107" spans="2:17" x14ac:dyDescent="0.25">
      <c r="J107" s="175"/>
    </row>
    <row r="108" spans="2:17" x14ac:dyDescent="0.25">
      <c r="J108" s="175"/>
    </row>
    <row r="109" spans="2:17" x14ac:dyDescent="0.25">
      <c r="J109" s="175"/>
    </row>
    <row r="110" spans="2:17" x14ac:dyDescent="0.25">
      <c r="J110" s="175"/>
    </row>
    <row r="111" spans="2:17" x14ac:dyDescent="0.25">
      <c r="J111" s="175"/>
    </row>
    <row r="112" spans="2:17" x14ac:dyDescent="0.25">
      <c r="J112" s="175"/>
    </row>
    <row r="113" spans="2:17" x14ac:dyDescent="0.25">
      <c r="J113" s="175"/>
    </row>
    <row r="114" spans="2:17" x14ac:dyDescent="0.25">
      <c r="J114" s="175"/>
      <c r="M114" s="178"/>
    </row>
    <row r="115" spans="2:17" x14ac:dyDescent="0.25">
      <c r="J115" s="175"/>
    </row>
    <row r="116" spans="2:17" x14ac:dyDescent="0.25">
      <c r="J116" s="175"/>
    </row>
    <row r="117" spans="2:17" x14ac:dyDescent="0.25">
      <c r="J117" s="175"/>
    </row>
    <row r="118" spans="2:17" x14ac:dyDescent="0.25">
      <c r="J118" s="175"/>
    </row>
    <row r="119" spans="2:17" x14ac:dyDescent="0.25">
      <c r="J119" s="175"/>
    </row>
    <row r="120" spans="2:17" x14ac:dyDescent="0.25">
      <c r="J120" s="175"/>
    </row>
    <row r="121" spans="2:17" x14ac:dyDescent="0.25">
      <c r="B121" s="179"/>
      <c r="C121" s="180" t="s">
        <v>176</v>
      </c>
      <c r="D121" s="180" t="s">
        <v>177</v>
      </c>
      <c r="E121" s="181" t="s">
        <v>178</v>
      </c>
      <c r="G121" s="179"/>
      <c r="H121" s="182"/>
      <c r="I121" s="182"/>
      <c r="J121" s="183"/>
      <c r="K121" s="182"/>
      <c r="L121" s="182"/>
      <c r="M121" s="182"/>
      <c r="N121" s="182"/>
      <c r="O121" s="180" t="s">
        <v>176</v>
      </c>
      <c r="P121" s="180" t="s">
        <v>177</v>
      </c>
      <c r="Q121" s="181" t="s">
        <v>178</v>
      </c>
    </row>
    <row r="122" spans="2:17" x14ac:dyDescent="0.25">
      <c r="B122" s="184" t="str">
        <f>"DCF Value at "&amp;TEXT(E93,"0.0x")&amp;"-"&amp;TEXT(I93,"0.0x")&amp;" Exit EBITDA Range at "&amp;TEXT(D96,"0.0%")&amp;" WACC"</f>
        <v>DCF Value at 11.5x-13.5x Exit EBITDA Range at 9.0% WACC</v>
      </c>
      <c r="C122" s="185">
        <f>E96</f>
        <v>255.11212614708694</v>
      </c>
      <c r="D122" s="185">
        <f>E122-C122</f>
        <v>30.754754148733241</v>
      </c>
      <c r="E122" s="186">
        <f>I96</f>
        <v>285.86688029582018</v>
      </c>
      <c r="G122" s="184" t="str">
        <f>"LTM EBITDA Purchase Multiple at "&amp;TEXT(M84,"0.0%")&amp;"-"&amp;TEXT(Q84,"0.0%")&amp;" Perpetuity Growth at "&amp;TEXT(L87,"0.0%")&amp;" WACC"</f>
        <v>LTM EBITDA Purchase Multiple at 2.0%-4.0% Perpetuity Growth at 9.0% WACC</v>
      </c>
      <c r="J122" s="175"/>
      <c r="O122" s="187">
        <f>M87</f>
        <v>12.158600506522676</v>
      </c>
      <c r="P122" s="187">
        <f>Q122-O122</f>
        <v>3.8793603063571584</v>
      </c>
      <c r="Q122" s="188">
        <f>Q87</f>
        <v>16.037960812879835</v>
      </c>
    </row>
    <row r="123" spans="2:17" x14ac:dyDescent="0.25">
      <c r="B123" s="189" t="str">
        <f>"DCF Value at "&amp;TEXT(E84,"0.0%")&amp;"-"&amp;TEXT(I84,"0.0%")&amp;" Perpetuity Range at "&amp;TEXT(D96,"0.0%")&amp;" WACC"</f>
        <v>DCF Value at 2.0%-4.0% Perpetuity Range at 9.0% WACC</v>
      </c>
      <c r="C123" s="185">
        <f>E87</f>
        <v>243.66113413110557</v>
      </c>
      <c r="D123" s="185">
        <f>E123-C123</f>
        <v>70.695623658731876</v>
      </c>
      <c r="E123" s="186">
        <f>I87</f>
        <v>314.35675778983745</v>
      </c>
      <c r="G123" s="189" t="str">
        <f>"LTM EBITDA Purchase Multiple at "&amp;TEXT(M96,"0.0x")&amp;"-"&amp;TEXT(Q96,"0.0x")&amp;" Exit EBITDA Multiple at "&amp;TEXT(L96,"0.0%")&amp;" WACC"</f>
        <v>LTM EBITDA Purchase Multiple at 12.8x-14.5x Exit EBITDA Multiple at 9.0% WACC</v>
      </c>
      <c r="J123" s="175"/>
      <c r="O123" s="187">
        <f>M96</f>
        <v>12.786963644100345</v>
      </c>
      <c r="P123" s="187">
        <f>Q123-O123</f>
        <v>1.6876401437846678</v>
      </c>
      <c r="Q123" s="188">
        <f>Q96</f>
        <v>14.474603787885012</v>
      </c>
    </row>
    <row r="124" spans="2:17" x14ac:dyDescent="0.25">
      <c r="B124" s="190" t="s">
        <v>179</v>
      </c>
      <c r="C124" s="191">
        <v>169.5</v>
      </c>
      <c r="D124" s="191">
        <f>E124-C124</f>
        <v>158.35000000000002</v>
      </c>
      <c r="E124" s="192">
        <v>327.85</v>
      </c>
      <c r="G124" s="190" t="str">
        <f>"LTM EBITDA Purchase Multiple at "&amp;TEXT(L98,"0.0%")&amp;"-"&amp;TEXT(L94,"0.0%")&amp;" WACC at "&amp;TEXT(O93,"0.0x")&amp;" Exit EBITDA"</f>
        <v>LTM EBITDA Purchase Multiple at 8.0%-10.0% WACC at 12.5x Exit EBITDA</v>
      </c>
      <c r="H124" s="193"/>
      <c r="I124" s="193"/>
      <c r="J124" s="194"/>
      <c r="K124" s="193"/>
      <c r="L124" s="193"/>
      <c r="M124" s="193"/>
      <c r="N124" s="193"/>
      <c r="O124" s="195">
        <f>O94</f>
        <v>13.122776360825991</v>
      </c>
      <c r="P124" s="195">
        <f>Q124-O124</f>
        <v>1.0418732444405041</v>
      </c>
      <c r="Q124" s="196">
        <f>O98</f>
        <v>14.164649605266495</v>
      </c>
    </row>
    <row r="125" spans="2:17" x14ac:dyDescent="0.25">
      <c r="J125" s="175"/>
    </row>
    <row r="126" spans="2:17" x14ac:dyDescent="0.25">
      <c r="J126" s="175"/>
    </row>
  </sheetData>
  <conditionalFormatting sqref="E85:J89 E94:J98">
    <cfRule type="cellIs" dxfId="7" priority="1" operator="lessThan">
      <formula>$C$7</formula>
    </cfRule>
  </conditionalFormatting>
  <dataValidations count="1">
    <dataValidation type="list" allowBlank="1" showInputMessage="1" showErrorMessage="1" sqref="H7" xr:uid="{65EBEBB2-14D9-4D01-9824-E94501C2A9B1}">
      <formula1>"0,1"</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F711D-09D3-4D0C-84A8-1366FD33C34B}">
  <sheetPr>
    <tabColor theme="7"/>
  </sheetPr>
  <dimension ref="B1:I24"/>
  <sheetViews>
    <sheetView zoomScaleNormal="100" workbookViewId="0">
      <selection sqref="A1:XFD1048576"/>
    </sheetView>
  </sheetViews>
  <sheetFormatPr defaultColWidth="9.140625" defaultRowHeight="15" x14ac:dyDescent="0.25"/>
  <cols>
    <col min="1" max="1" width="1.42578125" customWidth="1"/>
    <col min="2" max="2" width="50.28515625" customWidth="1"/>
    <col min="3" max="3" width="13.42578125" customWidth="1"/>
    <col min="4" max="9" width="12.7109375" customWidth="1"/>
    <col min="10" max="10" width="1.7109375" customWidth="1"/>
    <col min="11" max="11" width="11" bestFit="1" customWidth="1"/>
    <col min="12" max="16" width="9.42578125" customWidth="1"/>
  </cols>
  <sheetData>
    <row r="1" spans="2:9" ht="15.75" thickBot="1" x14ac:dyDescent="0.3"/>
    <row r="2" spans="2:9" ht="15.75" thickBot="1" x14ac:dyDescent="0.3">
      <c r="B2" s="47" t="s">
        <v>184</v>
      </c>
      <c r="C2" s="48"/>
      <c r="D2" s="48"/>
      <c r="E2" s="48"/>
      <c r="F2" s="48"/>
      <c r="G2" s="48"/>
      <c r="H2" s="48"/>
      <c r="I2" s="48"/>
    </row>
    <row r="3" spans="2:9" x14ac:dyDescent="0.25">
      <c r="B3" s="61" t="str">
        <f>'Financials '!$B$3</f>
        <v xml:space="preserve">$ and shares in millions, except per share data </v>
      </c>
    </row>
    <row r="4" spans="2:9" ht="15" customHeight="1" x14ac:dyDescent="0.25">
      <c r="B4" s="219" t="s">
        <v>185</v>
      </c>
      <c r="C4" s="220"/>
      <c r="D4" s="220"/>
      <c r="E4" s="221"/>
      <c r="F4" s="222"/>
    </row>
    <row r="5" spans="2:9" x14ac:dyDescent="0.25">
      <c r="E5" s="30" t="s">
        <v>186</v>
      </c>
    </row>
    <row r="6" spans="2:9" ht="15" customHeight="1" x14ac:dyDescent="0.25">
      <c r="B6" t="s">
        <v>187</v>
      </c>
      <c r="C6" s="223"/>
      <c r="E6" t="s">
        <v>188</v>
      </c>
    </row>
    <row r="7" spans="2:9" ht="15" customHeight="1" x14ac:dyDescent="0.25">
      <c r="B7" t="s">
        <v>79</v>
      </c>
      <c r="C7" s="224"/>
      <c r="E7" t="s">
        <v>189</v>
      </c>
    </row>
    <row r="8" spans="2:9" ht="15" customHeight="1" x14ac:dyDescent="0.25">
      <c r="B8" t="s">
        <v>190</v>
      </c>
      <c r="C8" s="225"/>
      <c r="E8" t="s">
        <v>191</v>
      </c>
    </row>
    <row r="10" spans="2:9" x14ac:dyDescent="0.25">
      <c r="B10" t="s">
        <v>192</v>
      </c>
      <c r="C10" s="223"/>
      <c r="E10" t="s">
        <v>193</v>
      </c>
    </row>
    <row r="11" spans="2:9" x14ac:dyDescent="0.25">
      <c r="B11" t="s">
        <v>194</v>
      </c>
      <c r="C11" s="226"/>
      <c r="E11" t="s">
        <v>195</v>
      </c>
    </row>
    <row r="12" spans="2:9" ht="15" customHeight="1" x14ac:dyDescent="0.25">
      <c r="B12" t="s">
        <v>196</v>
      </c>
      <c r="C12" s="227"/>
      <c r="E12" t="s">
        <v>197</v>
      </c>
    </row>
    <row r="13" spans="2:9" x14ac:dyDescent="0.25">
      <c r="B13" t="s">
        <v>198</v>
      </c>
      <c r="C13" s="228"/>
      <c r="E13" t="s">
        <v>199</v>
      </c>
    </row>
    <row r="14" spans="2:9" x14ac:dyDescent="0.25">
      <c r="C14" s="229"/>
    </row>
    <row r="15" spans="2:9" x14ac:dyDescent="0.25">
      <c r="B15" s="230" t="s">
        <v>200</v>
      </c>
      <c r="C15" s="193"/>
      <c r="D15" s="193"/>
      <c r="E15" s="193"/>
    </row>
    <row r="16" spans="2:9" x14ac:dyDescent="0.25">
      <c r="B16" s="11"/>
      <c r="C16" s="155"/>
      <c r="D16" s="155" t="s">
        <v>201</v>
      </c>
    </row>
    <row r="17" spans="2:5" ht="17.25" x14ac:dyDescent="0.4">
      <c r="C17" s="231" t="s">
        <v>202</v>
      </c>
      <c r="D17" s="231" t="s">
        <v>203</v>
      </c>
      <c r="E17" s="231" t="s">
        <v>204</v>
      </c>
    </row>
    <row r="18" spans="2:5" x14ac:dyDescent="0.25">
      <c r="B18" t="s">
        <v>205</v>
      </c>
      <c r="C18" s="232"/>
      <c r="D18" s="233"/>
      <c r="E18" s="234"/>
    </row>
    <row r="19" spans="2:5" x14ac:dyDescent="0.25">
      <c r="B19" t="s">
        <v>147</v>
      </c>
      <c r="C19" s="232"/>
      <c r="D19" s="235"/>
      <c r="E19" s="234"/>
    </row>
    <row r="21" spans="2:5" x14ac:dyDescent="0.25">
      <c r="B21" s="236" t="s">
        <v>206</v>
      </c>
      <c r="C21" s="237"/>
      <c r="D21" s="182"/>
      <c r="E21" s="238"/>
    </row>
    <row r="22" spans="2:5" x14ac:dyDescent="0.25">
      <c r="B22" s="54"/>
      <c r="C22" s="128"/>
    </row>
    <row r="23" spans="2:5" x14ac:dyDescent="0.25">
      <c r="B23" s="54"/>
      <c r="C23" s="128"/>
    </row>
    <row r="24" spans="2:5" x14ac:dyDescent="0.25">
      <c r="B24" s="54"/>
      <c r="C24" s="128"/>
    </row>
  </sheetData>
  <conditionalFormatting sqref="B22:C24">
    <cfRule type="expression" dxfId="6" priority="1">
      <formula>#REF!="Industry"</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41C70-7110-4003-83A8-6294D337883C}">
  <sheetPr>
    <tabColor theme="7"/>
  </sheetPr>
  <dimension ref="B1:I47"/>
  <sheetViews>
    <sheetView zoomScaleNormal="100" workbookViewId="0">
      <selection activeCell="C43" sqref="C43"/>
    </sheetView>
  </sheetViews>
  <sheetFormatPr defaultColWidth="9.140625" defaultRowHeight="15" x14ac:dyDescent="0.25"/>
  <cols>
    <col min="1" max="1" width="1.42578125" customWidth="1"/>
    <col min="2" max="2" width="50.28515625" customWidth="1"/>
    <col min="3" max="3" width="13.42578125" customWidth="1"/>
    <col min="4" max="9" width="12.7109375" customWidth="1"/>
    <col min="10" max="10" width="1.7109375" customWidth="1"/>
    <col min="11" max="11" width="11" bestFit="1" customWidth="1"/>
    <col min="12" max="16" width="9.42578125" customWidth="1"/>
  </cols>
  <sheetData>
    <row r="1" spans="2:9" ht="15.75" thickBot="1" x14ac:dyDescent="0.3"/>
    <row r="2" spans="2:9" ht="15.75" thickBot="1" x14ac:dyDescent="0.3">
      <c r="B2" s="47" t="s">
        <v>184</v>
      </c>
      <c r="C2" s="48"/>
      <c r="D2" s="48"/>
      <c r="E2" s="48"/>
      <c r="F2" s="48"/>
      <c r="G2" s="48"/>
      <c r="H2" s="48"/>
      <c r="I2" s="48"/>
    </row>
    <row r="3" spans="2:9" x14ac:dyDescent="0.25">
      <c r="B3" s="61" t="str">
        <f>'Financials '!$B$3</f>
        <v xml:space="preserve">$ and shares in millions, except per share data </v>
      </c>
    </row>
    <row r="4" spans="2:9" ht="15" customHeight="1" x14ac:dyDescent="0.25">
      <c r="B4" s="219" t="s">
        <v>185</v>
      </c>
      <c r="C4" s="220"/>
      <c r="D4" s="239"/>
      <c r="E4" s="221"/>
      <c r="F4" s="222"/>
    </row>
    <row r="5" spans="2:9" x14ac:dyDescent="0.25">
      <c r="E5" s="30" t="s">
        <v>186</v>
      </c>
    </row>
    <row r="6" spans="2:9" ht="15" customHeight="1" x14ac:dyDescent="0.25">
      <c r="B6" t="s">
        <v>187</v>
      </c>
      <c r="C6" s="240">
        <v>1.7500000000000002E-2</v>
      </c>
      <c r="E6" t="s">
        <v>188</v>
      </c>
    </row>
    <row r="7" spans="2:9" ht="15" customHeight="1" x14ac:dyDescent="0.25">
      <c r="B7" t="s">
        <v>79</v>
      </c>
      <c r="C7" s="241">
        <f>'Simple DCF Done'!I22</f>
        <v>0.17299999999999999</v>
      </c>
      <c r="E7" t="s">
        <v>189</v>
      </c>
    </row>
    <row r="8" spans="2:9" ht="15" customHeight="1" x14ac:dyDescent="0.25">
      <c r="B8" t="s">
        <v>190</v>
      </c>
      <c r="C8" s="242">
        <f>C6*(1-C7)</f>
        <v>1.4472500000000001E-2</v>
      </c>
      <c r="E8" t="s">
        <v>191</v>
      </c>
    </row>
    <row r="10" spans="2:9" x14ac:dyDescent="0.25">
      <c r="B10" t="s">
        <v>192</v>
      </c>
      <c r="C10" s="240">
        <v>1.23E-2</v>
      </c>
      <c r="E10" t="s">
        <v>193</v>
      </c>
    </row>
    <row r="11" spans="2:9" x14ac:dyDescent="0.25">
      <c r="B11" t="s">
        <v>194</v>
      </c>
      <c r="C11" s="243">
        <f>IF(C32="Observed",C34,C35)</f>
        <v>1.099</v>
      </c>
      <c r="E11" t="s">
        <v>195</v>
      </c>
    </row>
    <row r="12" spans="2:9" x14ac:dyDescent="0.25">
      <c r="B12" t="s">
        <v>196</v>
      </c>
      <c r="C12" s="240">
        <v>5.5E-2</v>
      </c>
      <c r="E12" t="s">
        <v>197</v>
      </c>
    </row>
    <row r="13" spans="2:9" x14ac:dyDescent="0.25">
      <c r="B13" t="s">
        <v>198</v>
      </c>
      <c r="C13" s="229">
        <f>C10+C11*C12</f>
        <v>7.2745000000000004E-2</v>
      </c>
      <c r="E13" t="s">
        <v>199</v>
      </c>
    </row>
    <row r="15" spans="2:9" x14ac:dyDescent="0.25">
      <c r="B15" s="230" t="s">
        <v>200</v>
      </c>
      <c r="C15" s="193"/>
      <c r="D15" s="193"/>
      <c r="E15" s="193"/>
      <c r="F15" s="11"/>
    </row>
    <row r="16" spans="2:9" x14ac:dyDescent="0.25">
      <c r="B16" s="11"/>
      <c r="C16" s="155"/>
      <c r="D16" s="155" t="s">
        <v>201</v>
      </c>
      <c r="F16" s="11"/>
    </row>
    <row r="17" spans="2:6" ht="17.25" x14ac:dyDescent="0.4">
      <c r="C17" s="231" t="s">
        <v>202</v>
      </c>
      <c r="D17" s="231" t="s">
        <v>203</v>
      </c>
      <c r="E17" s="231" t="s">
        <v>204</v>
      </c>
    </row>
    <row r="18" spans="2:6" x14ac:dyDescent="0.25">
      <c r="B18" t="s">
        <v>205</v>
      </c>
      <c r="C18" s="244">
        <f>'Simple DCF Done'!H5*'Simple DCF Done'!I61</f>
        <v>1223044.68</v>
      </c>
      <c r="D18" s="245"/>
      <c r="E18" s="246">
        <f>IF(D18,D18,C18/(C18+C19))</f>
        <v>1.0878512288018185</v>
      </c>
    </row>
    <row r="19" spans="2:6" x14ac:dyDescent="0.25">
      <c r="B19" t="s">
        <v>147</v>
      </c>
      <c r="C19" s="244">
        <f>'Simple DCF Done'!C65</f>
        <v>-98769</v>
      </c>
      <c r="D19" s="247">
        <f>1-D18</f>
        <v>1</v>
      </c>
      <c r="E19" s="246">
        <f>1-E18</f>
        <v>-8.7851228801818504E-2</v>
      </c>
    </row>
    <row r="21" spans="2:6" x14ac:dyDescent="0.25">
      <c r="B21" s="236" t="s">
        <v>206</v>
      </c>
      <c r="C21" s="237"/>
      <c r="D21" s="182"/>
      <c r="E21" s="248">
        <f>C8*E19+C13*E18</f>
        <v>7.7864310730353978E-2</v>
      </c>
    </row>
    <row r="22" spans="2:6" x14ac:dyDescent="0.25">
      <c r="B22" s="11"/>
      <c r="C22" s="249"/>
    </row>
    <row r="23" spans="2:6" x14ac:dyDescent="0.25">
      <c r="B23" s="230" t="s">
        <v>207</v>
      </c>
      <c r="C23" s="193"/>
      <c r="D23" s="193"/>
      <c r="E23" s="193"/>
      <c r="F23" s="193"/>
    </row>
    <row r="24" spans="2:6" x14ac:dyDescent="0.25">
      <c r="D24" s="2" t="s">
        <v>208</v>
      </c>
      <c r="E24" s="250"/>
      <c r="F24" s="2"/>
    </row>
    <row r="25" spans="2:6" x14ac:dyDescent="0.25">
      <c r="C25" s="251">
        <f>E21</f>
        <v>7.7864310730353978E-2</v>
      </c>
      <c r="D25" s="252">
        <f>E25-0.1</f>
        <v>0.999</v>
      </c>
      <c r="E25" s="253">
        <v>1.099</v>
      </c>
      <c r="F25" s="254">
        <f>E25+0.1</f>
        <v>1.1990000000000001</v>
      </c>
    </row>
    <row r="26" spans="2:6" x14ac:dyDescent="0.25">
      <c r="C26" s="255">
        <f>C27-0.005</f>
        <v>4.5000000000000005E-2</v>
      </c>
      <c r="D26" s="256">
        <f t="dataTable" ref="D26:F30" dt2D="1" dtr="1" r1="C11" r2="C12"/>
        <v>6.1013495196213796E-2</v>
      </c>
      <c r="E26" s="92">
        <v>6.590882572582199E-2</v>
      </c>
      <c r="F26" s="92">
        <v>7.080415625543017E-2</v>
      </c>
    </row>
    <row r="27" spans="2:6" x14ac:dyDescent="0.25">
      <c r="B27" s="155" t="s">
        <v>209</v>
      </c>
      <c r="C27" s="255">
        <f>C28-0.005</f>
        <v>0.05</v>
      </c>
      <c r="D27" s="92">
        <v>6.6447312084078877E-2</v>
      </c>
      <c r="E27" s="92">
        <v>7.1886568228087977E-2</v>
      </c>
      <c r="F27" s="92">
        <v>7.7325824372097077E-2</v>
      </c>
    </row>
    <row r="28" spans="2:6" x14ac:dyDescent="0.25">
      <c r="B28" s="155" t="s">
        <v>210</v>
      </c>
      <c r="C28" s="257">
        <v>5.5E-2</v>
      </c>
      <c r="D28" s="92">
        <v>7.1881128971943958E-2</v>
      </c>
      <c r="E28" s="92">
        <v>7.7864310730353978E-2</v>
      </c>
      <c r="F28" s="92">
        <v>8.3847492488763983E-2</v>
      </c>
    </row>
    <row r="29" spans="2:6" x14ac:dyDescent="0.25">
      <c r="B29" s="155" t="s">
        <v>211</v>
      </c>
      <c r="C29" s="255">
        <f>C28+0.005</f>
        <v>0.06</v>
      </c>
      <c r="D29" s="92">
        <v>7.7314945859809053E-2</v>
      </c>
      <c r="E29" s="92">
        <v>8.3842053232619965E-2</v>
      </c>
      <c r="F29" s="92">
        <v>9.0369160605430876E-2</v>
      </c>
    </row>
    <row r="30" spans="2:6" x14ac:dyDescent="0.25">
      <c r="C30" s="255">
        <f>C29+0.005</f>
        <v>6.5000000000000002E-2</v>
      </c>
      <c r="D30" s="92">
        <v>8.2748762747674148E-2</v>
      </c>
      <c r="E30" s="92">
        <v>8.9819795734885952E-2</v>
      </c>
      <c r="F30" s="92">
        <v>9.6890828722097783E-2</v>
      </c>
    </row>
    <row r="31" spans="2:6" x14ac:dyDescent="0.25">
      <c r="C31" s="258"/>
      <c r="D31" s="92"/>
      <c r="E31" s="92"/>
      <c r="F31" s="92"/>
    </row>
    <row r="32" spans="2:6" x14ac:dyDescent="0.25">
      <c r="B32" t="s">
        <v>212</v>
      </c>
      <c r="C32" s="259" t="s">
        <v>213</v>
      </c>
    </row>
    <row r="34" spans="2:9" x14ac:dyDescent="0.25">
      <c r="B34" s="54" t="s">
        <v>213</v>
      </c>
      <c r="C34" s="128">
        <v>1.099</v>
      </c>
      <c r="D34" t="s">
        <v>195</v>
      </c>
    </row>
    <row r="35" spans="2:9" x14ac:dyDescent="0.25">
      <c r="B35" s="54" t="s">
        <v>214</v>
      </c>
      <c r="C35" s="136">
        <f>C46</f>
        <v>1.1781380433297848</v>
      </c>
      <c r="D35" t="s">
        <v>215</v>
      </c>
    </row>
    <row r="37" spans="2:9" x14ac:dyDescent="0.25">
      <c r="B37" s="230" t="s">
        <v>214</v>
      </c>
      <c r="C37" s="230"/>
      <c r="D37" s="193"/>
      <c r="E37" s="193"/>
      <c r="F37" s="193"/>
      <c r="G37" s="193"/>
      <c r="H37" s="193"/>
      <c r="I37" s="193"/>
    </row>
    <row r="38" spans="2:9" x14ac:dyDescent="0.25">
      <c r="H38" s="260"/>
    </row>
    <row r="39" spans="2:9" ht="15.75" thickBot="1" x14ac:dyDescent="0.3">
      <c r="C39" s="261" t="s">
        <v>216</v>
      </c>
      <c r="D39" s="261" t="s">
        <v>217</v>
      </c>
      <c r="E39" s="261" t="s">
        <v>218</v>
      </c>
      <c r="F39" s="261" t="s">
        <v>219</v>
      </c>
      <c r="G39" s="262" t="s">
        <v>35</v>
      </c>
      <c r="H39" s="261" t="s">
        <v>79</v>
      </c>
      <c r="I39" s="261" t="s">
        <v>220</v>
      </c>
    </row>
    <row r="40" spans="2:9" x14ac:dyDescent="0.25">
      <c r="B40" s="31" t="s">
        <v>221</v>
      </c>
      <c r="C40" s="128">
        <v>1.21</v>
      </c>
      <c r="D40" s="263">
        <v>136.96</v>
      </c>
      <c r="E40" s="97">
        <v>7662.8</v>
      </c>
      <c r="F40" s="56">
        <f>D40*E40</f>
        <v>1049497.088</v>
      </c>
      <c r="G40" s="97">
        <f>86343-131536</f>
        <v>-45193</v>
      </c>
      <c r="H40" s="57">
        <v>0.16400000000000001</v>
      </c>
      <c r="I40" s="136">
        <f>C40/(1+(1-H40)*(G40)/F40)</f>
        <v>1.2551860431468624</v>
      </c>
    </row>
    <row r="41" spans="2:9" x14ac:dyDescent="0.25">
      <c r="B41" s="31" t="s">
        <v>222</v>
      </c>
      <c r="C41" s="128">
        <v>0.96</v>
      </c>
      <c r="D41" s="263">
        <v>1116.79</v>
      </c>
      <c r="E41" s="97">
        <v>694.2</v>
      </c>
      <c r="F41" s="56">
        <f>D41*E41</f>
        <v>775275.61800000002</v>
      </c>
      <c r="G41" s="97">
        <f>12272-113488</f>
        <v>-101216</v>
      </c>
      <c r="H41" s="57">
        <v>0.13900000000000001</v>
      </c>
      <c r="I41" s="136">
        <f t="shared" ref="I41:I43" si="0">C41/(1+(1-H41)*(G41)/F41)</f>
        <v>1.0815776990721453</v>
      </c>
    </row>
    <row r="42" spans="2:9" x14ac:dyDescent="0.25">
      <c r="B42" s="31" t="s">
        <v>223</v>
      </c>
      <c r="C42" s="128">
        <v>1.58</v>
      </c>
      <c r="D42" s="263">
        <v>1952.32</v>
      </c>
      <c r="E42" s="97">
        <v>492.3</v>
      </c>
      <c r="F42" s="56">
        <f>D42*E42</f>
        <v>961127.13599999994</v>
      </c>
      <c r="G42" s="97">
        <f>69005-37020</f>
        <v>31985</v>
      </c>
      <c r="H42" s="57">
        <v>0.127</v>
      </c>
      <c r="I42" s="136">
        <f t="shared" si="0"/>
        <v>1.5353933693229584</v>
      </c>
    </row>
    <row r="43" spans="2:9" x14ac:dyDescent="0.25">
      <c r="B43" s="31" t="s">
        <v>224</v>
      </c>
      <c r="C43" s="243">
        <f>C34</f>
        <v>1.099</v>
      </c>
      <c r="D43" s="264"/>
      <c r="E43" s="265"/>
      <c r="F43" s="100">
        <f>C18</f>
        <v>1223044.68</v>
      </c>
      <c r="G43" s="100">
        <f>C19</f>
        <v>-98769</v>
      </c>
      <c r="H43" s="266">
        <f>C7</f>
        <v>0.17299999999999999</v>
      </c>
      <c r="I43" s="136">
        <f t="shared" si="0"/>
        <v>1.1776502625326248</v>
      </c>
    </row>
    <row r="44" spans="2:9" x14ac:dyDescent="0.25">
      <c r="C44" s="136"/>
      <c r="F44" s="56"/>
      <c r="G44" s="56"/>
      <c r="H44" s="56"/>
      <c r="I44" s="246"/>
    </row>
    <row r="45" spans="2:9" x14ac:dyDescent="0.25">
      <c r="B45" t="s">
        <v>225</v>
      </c>
      <c r="C45" s="136">
        <f>AVERAGE(I40:I43)</f>
        <v>1.2624518435186478</v>
      </c>
    </row>
    <row r="46" spans="2:9" x14ac:dyDescent="0.25">
      <c r="B46" s="11" t="str">
        <f>B43&amp;" beta"</f>
        <v>Apple (AAPL) beta</v>
      </c>
      <c r="C46" s="267">
        <f>C45*(1+(1-H43)*(G43)/F43)</f>
        <v>1.1781380433297848</v>
      </c>
    </row>
    <row r="47" spans="2:9" x14ac:dyDescent="0.25">
      <c r="C47" s="185"/>
    </row>
  </sheetData>
  <dataValidations count="1">
    <dataValidation type="list" allowBlank="1" showInputMessage="1" showErrorMessage="1" sqref="C32" xr:uid="{8E6D7501-41C9-450F-92F5-49403D061A3D}">
      <formula1>"Industry, Observed"</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8089C-A64E-42C0-A5E5-64CA9D3456D0}">
  <sheetPr>
    <tabColor theme="6"/>
  </sheetPr>
  <dimension ref="B1:Q126"/>
  <sheetViews>
    <sheetView zoomScaleNormal="100" workbookViewId="0">
      <selection activeCell="H7" sqref="H7"/>
    </sheetView>
  </sheetViews>
  <sheetFormatPr defaultColWidth="9.140625" defaultRowHeight="15" x14ac:dyDescent="0.25"/>
  <cols>
    <col min="1" max="1" width="1.42578125" customWidth="1"/>
    <col min="2" max="2" width="54.42578125" customWidth="1"/>
    <col min="3" max="3" width="13.42578125" customWidth="1"/>
    <col min="4" max="9" width="12.7109375" customWidth="1"/>
    <col min="10" max="10" width="1.7109375" customWidth="1"/>
    <col min="11" max="11" width="12.140625" bestFit="1" customWidth="1"/>
    <col min="12" max="16" width="9.42578125" customWidth="1"/>
  </cols>
  <sheetData>
    <row r="1" spans="2:11" ht="15.75" thickBot="1" x14ac:dyDescent="0.3"/>
    <row r="2" spans="2:11" ht="15.75" thickBot="1" x14ac:dyDescent="0.3">
      <c r="B2" s="47" t="s">
        <v>83</v>
      </c>
      <c r="C2" s="48"/>
      <c r="D2" s="48"/>
      <c r="E2" s="48"/>
      <c r="F2" s="48"/>
      <c r="G2" s="48"/>
      <c r="H2" s="48"/>
      <c r="I2" s="48"/>
    </row>
    <row r="3" spans="2:11" x14ac:dyDescent="0.25">
      <c r="B3" s="61" t="str">
        <f>'Financials '!$B$3</f>
        <v xml:space="preserve">$ and shares in millions, except per share data </v>
      </c>
    </row>
    <row r="4" spans="2:11" ht="15" customHeight="1" x14ac:dyDescent="0.25">
      <c r="B4" t="s">
        <v>84</v>
      </c>
      <c r="D4" s="197">
        <v>43736</v>
      </c>
      <c r="F4" t="s">
        <v>85</v>
      </c>
      <c r="H4" s="268">
        <f>'WACC Done'!E21</f>
        <v>7.7864310730353978E-2</v>
      </c>
    </row>
    <row r="5" spans="2:11" x14ac:dyDescent="0.25">
      <c r="B5" t="s">
        <v>86</v>
      </c>
      <c r="D5" s="125">
        <f>EOMONTH(D4,12)</f>
        <v>44104</v>
      </c>
      <c r="F5" t="s">
        <v>87</v>
      </c>
      <c r="H5" s="198">
        <v>273.52</v>
      </c>
    </row>
    <row r="6" spans="2:11" x14ac:dyDescent="0.25">
      <c r="B6" t="s">
        <v>88</v>
      </c>
      <c r="D6" s="197">
        <v>43827</v>
      </c>
      <c r="F6" t="s">
        <v>89</v>
      </c>
      <c r="H6" s="199">
        <v>43888</v>
      </c>
      <c r="J6" s="67"/>
    </row>
    <row r="7" spans="2:11" x14ac:dyDescent="0.25">
      <c r="B7" t="s">
        <v>90</v>
      </c>
      <c r="D7" s="197">
        <v>43889</v>
      </c>
      <c r="F7" t="s">
        <v>91</v>
      </c>
      <c r="H7" s="200">
        <v>0</v>
      </c>
      <c r="I7" s="67"/>
      <c r="J7" s="67"/>
    </row>
    <row r="8" spans="2:11" x14ac:dyDescent="0.25">
      <c r="B8" t="s">
        <v>92</v>
      </c>
      <c r="D8" s="59">
        <f>YEARFRAC(D7,D5)</f>
        <v>0.58888888888888891</v>
      </c>
    </row>
    <row r="9" spans="2:11" x14ac:dyDescent="0.25">
      <c r="D9" s="70"/>
    </row>
    <row r="10" spans="2:11" x14ac:dyDescent="0.25">
      <c r="B10" s="51" t="s">
        <v>93</v>
      </c>
      <c r="C10" s="71"/>
      <c r="D10" s="72"/>
      <c r="F10" s="71"/>
      <c r="G10" s="71"/>
      <c r="H10" s="71"/>
      <c r="I10" s="71"/>
    </row>
    <row r="11" spans="2:11" ht="17.25" customHeight="1" x14ac:dyDescent="0.4">
      <c r="C11" s="50"/>
      <c r="D11" s="50" t="s">
        <v>72</v>
      </c>
      <c r="E11" s="73" t="s">
        <v>94</v>
      </c>
      <c r="F11" s="50"/>
      <c r="G11" s="50"/>
      <c r="H11" s="50"/>
      <c r="I11" s="50"/>
    </row>
    <row r="12" spans="2:11" x14ac:dyDescent="0.25">
      <c r="B12" s="24" t="s">
        <v>95</v>
      </c>
      <c r="C12" s="74"/>
      <c r="D12" s="201">
        <f>D4</f>
        <v>43736</v>
      </c>
      <c r="E12" s="202">
        <f>EOMONTH(D12,12)</f>
        <v>44104</v>
      </c>
      <c r="F12" s="202">
        <f t="shared" ref="F12:I12" si="0">EOMONTH(E12,12)</f>
        <v>44469</v>
      </c>
      <c r="G12" s="202">
        <f t="shared" si="0"/>
        <v>44834</v>
      </c>
      <c r="H12" s="202">
        <f t="shared" si="0"/>
        <v>45199</v>
      </c>
      <c r="I12" s="202">
        <f t="shared" si="0"/>
        <v>45565</v>
      </c>
    </row>
    <row r="13" spans="2:11" x14ac:dyDescent="0.25">
      <c r="B13" s="24"/>
      <c r="D13" s="77"/>
      <c r="E13" s="78"/>
      <c r="F13" s="78"/>
      <c r="G13" s="78"/>
      <c r="H13" s="78"/>
      <c r="I13" s="78"/>
    </row>
    <row r="14" spans="2:11" x14ac:dyDescent="0.25">
      <c r="B14" t="s">
        <v>2</v>
      </c>
      <c r="C14" s="79"/>
      <c r="D14" s="203">
        <v>260174</v>
      </c>
      <c r="E14" s="79">
        <f>D14*(1+E15)</f>
        <v>280987.92000000004</v>
      </c>
      <c r="F14" s="79">
        <f t="shared" ref="F14:I14" si="1">E14*(1+F15)</f>
        <v>306276.83280000009</v>
      </c>
      <c r="G14" s="79">
        <f t="shared" si="1"/>
        <v>324653.44276800012</v>
      </c>
      <c r="H14" s="79">
        <f t="shared" si="1"/>
        <v>344132.64933408017</v>
      </c>
      <c r="I14" s="79">
        <f t="shared" si="1"/>
        <v>364780.60829412501</v>
      </c>
    </row>
    <row r="15" spans="2:11" x14ac:dyDescent="0.25">
      <c r="B15" s="54" t="s">
        <v>97</v>
      </c>
      <c r="D15" s="204"/>
      <c r="E15" s="55">
        <v>0.08</v>
      </c>
      <c r="F15" s="55">
        <v>0.09</v>
      </c>
      <c r="G15" s="55">
        <v>0.06</v>
      </c>
      <c r="H15" s="55">
        <v>0.06</v>
      </c>
      <c r="I15" s="55">
        <v>0.06</v>
      </c>
      <c r="K15" s="55"/>
    </row>
    <row r="16" spans="2:11" x14ac:dyDescent="0.25">
      <c r="B16" t="s">
        <v>98</v>
      </c>
      <c r="C16" s="79"/>
      <c r="D16" s="91">
        <f>D18+D25</f>
        <v>76477</v>
      </c>
      <c r="E16" s="79">
        <f>E17*E14</f>
        <v>81486.496800000008</v>
      </c>
      <c r="F16" s="79">
        <f t="shared" ref="F16:I16" si="2">F17*F14</f>
        <v>88820.281512000016</v>
      </c>
      <c r="G16" s="79">
        <f t="shared" si="2"/>
        <v>92526.231188880032</v>
      </c>
      <c r="H16" s="79">
        <f t="shared" si="2"/>
        <v>98077.805060212835</v>
      </c>
      <c r="I16" s="79">
        <f t="shared" si="2"/>
        <v>102138.57032235501</v>
      </c>
    </row>
    <row r="17" spans="2:13" x14ac:dyDescent="0.25">
      <c r="B17" s="54" t="s">
        <v>77</v>
      </c>
      <c r="D17" s="205">
        <f>D16/D14</f>
        <v>0.29394559025882677</v>
      </c>
      <c r="E17" s="55">
        <v>0.28999999999999998</v>
      </c>
      <c r="F17" s="55">
        <v>0.28999999999999998</v>
      </c>
      <c r="G17" s="55">
        <v>0.28499999999999998</v>
      </c>
      <c r="H17" s="55">
        <v>0.28499999999999998</v>
      </c>
      <c r="I17" s="55">
        <v>0.28000000000000003</v>
      </c>
    </row>
    <row r="18" spans="2:13" x14ac:dyDescent="0.25">
      <c r="B18" t="s">
        <v>78</v>
      </c>
      <c r="D18" s="203">
        <v>63930</v>
      </c>
      <c r="E18" s="79">
        <f>E19*E14</f>
        <v>69123.028320000012</v>
      </c>
      <c r="F18" s="79">
        <f t="shared" ref="F18:I18" si="3">F19*F14</f>
        <v>76569.208200000023</v>
      </c>
      <c r="G18" s="79">
        <f t="shared" si="3"/>
        <v>81163.360692000031</v>
      </c>
      <c r="H18" s="79">
        <f t="shared" si="3"/>
        <v>87753.825580190445</v>
      </c>
      <c r="I18" s="79">
        <f t="shared" si="3"/>
        <v>91195.152073531252</v>
      </c>
    </row>
    <row r="19" spans="2:13" x14ac:dyDescent="0.25">
      <c r="B19" s="54" t="s">
        <v>77</v>
      </c>
      <c r="D19" s="205">
        <f>D18/D14</f>
        <v>0.24572017188496928</v>
      </c>
      <c r="E19" s="55">
        <v>0.246</v>
      </c>
      <c r="F19" s="55">
        <v>0.25</v>
      </c>
      <c r="G19" s="55">
        <v>0.25</v>
      </c>
      <c r="H19" s="55">
        <v>0.255</v>
      </c>
      <c r="I19" s="55">
        <v>0.25</v>
      </c>
    </row>
    <row r="20" spans="2:13" x14ac:dyDescent="0.25">
      <c r="B20" s="54"/>
      <c r="D20" s="86"/>
      <c r="E20" s="87"/>
      <c r="F20" s="87"/>
      <c r="G20" s="87"/>
      <c r="H20" s="87"/>
      <c r="I20" s="87"/>
    </row>
    <row r="21" spans="2:13" ht="15" customHeight="1" x14ac:dyDescent="0.25">
      <c r="B21" t="s">
        <v>101</v>
      </c>
      <c r="C21" s="79"/>
      <c r="D21" s="91">
        <f>D22*D18</f>
        <v>10164.870000000001</v>
      </c>
      <c r="E21" s="79">
        <f>E22*E18</f>
        <v>10921.438474560002</v>
      </c>
      <c r="F21" s="79">
        <f t="shared" ref="F21:I21" si="4">F22*F18</f>
        <v>12710.488561200005</v>
      </c>
      <c r="G21" s="79">
        <f t="shared" si="4"/>
        <v>13554.281235564005</v>
      </c>
      <c r="H21" s="79">
        <f t="shared" si="4"/>
        <v>15181.411825372947</v>
      </c>
      <c r="I21" s="79">
        <f t="shared" si="4"/>
        <v>15776.761308720905</v>
      </c>
    </row>
    <row r="22" spans="2:13" ht="15" customHeight="1" x14ac:dyDescent="0.25">
      <c r="B22" s="54" t="s">
        <v>79</v>
      </c>
      <c r="D22" s="206">
        <v>0.159</v>
      </c>
      <c r="E22" s="206">
        <v>0.158</v>
      </c>
      <c r="F22" s="57">
        <v>0.16600000000000001</v>
      </c>
      <c r="G22" s="57">
        <v>0.16700000000000001</v>
      </c>
      <c r="H22" s="57">
        <v>0.17299999999999999</v>
      </c>
      <c r="I22" s="57">
        <v>0.17299999999999999</v>
      </c>
    </row>
    <row r="23" spans="2:13" ht="15" customHeight="1" x14ac:dyDescent="0.25">
      <c r="B23" s="11" t="s">
        <v>103</v>
      </c>
      <c r="C23" s="11"/>
      <c r="D23" s="207">
        <f>D18-D21</f>
        <v>53765.13</v>
      </c>
      <c r="E23" s="207">
        <f t="shared" ref="E23:I23" si="5">E18-E21</f>
        <v>58201.589845440009</v>
      </c>
      <c r="F23" s="98">
        <f t="shared" si="5"/>
        <v>63858.719638800016</v>
      </c>
      <c r="G23" s="98">
        <f t="shared" si="5"/>
        <v>67609.079456436026</v>
      </c>
      <c r="H23" s="98">
        <f t="shared" si="5"/>
        <v>72572.413754817506</v>
      </c>
      <c r="I23" s="98">
        <f t="shared" si="5"/>
        <v>75418.390764810349</v>
      </c>
    </row>
    <row r="24" spans="2:13" x14ac:dyDescent="0.25">
      <c r="D24" s="91"/>
      <c r="E24" s="79"/>
      <c r="F24" s="79"/>
      <c r="G24" s="79"/>
      <c r="H24" s="79"/>
      <c r="I24" s="79"/>
    </row>
    <row r="25" spans="2:13" ht="15" customHeight="1" x14ac:dyDescent="0.25">
      <c r="B25" t="s">
        <v>105</v>
      </c>
      <c r="D25" s="203">
        <v>12547</v>
      </c>
      <c r="E25" s="79">
        <f>E16-E18</f>
        <v>12363.468479999996</v>
      </c>
      <c r="F25" s="79">
        <f t="shared" ref="F25:I25" si="6">F16-F18</f>
        <v>12251.073311999993</v>
      </c>
      <c r="G25" s="79">
        <f t="shared" si="6"/>
        <v>11362.870496880001</v>
      </c>
      <c r="H25" s="79">
        <f t="shared" si="6"/>
        <v>10323.97948002239</v>
      </c>
      <c r="I25" s="79">
        <f t="shared" si="6"/>
        <v>10943.418248823757</v>
      </c>
      <c r="M25" s="92"/>
    </row>
    <row r="26" spans="2:13" ht="15" customHeight="1" x14ac:dyDescent="0.25">
      <c r="B26" t="s">
        <v>107</v>
      </c>
      <c r="D26" s="208">
        <f t="shared" ref="D26:I26" si="7">C32-D32</f>
        <v>-2927</v>
      </c>
      <c r="E26" s="208">
        <f t="shared" si="7"/>
        <v>2177.2800000000061</v>
      </c>
      <c r="F26" s="79">
        <f t="shared" si="7"/>
        <v>2645.3952000000063</v>
      </c>
      <c r="G26" s="79">
        <f t="shared" si="7"/>
        <v>1922.3205120000057</v>
      </c>
      <c r="H26" s="79">
        <f t="shared" si="7"/>
        <v>2037.6597427200031</v>
      </c>
      <c r="I26" s="79">
        <f t="shared" si="7"/>
        <v>2159.9193272832053</v>
      </c>
      <c r="M26" s="94"/>
    </row>
    <row r="27" spans="2:13" ht="15" customHeight="1" x14ac:dyDescent="0.25">
      <c r="B27" t="s">
        <v>109</v>
      </c>
      <c r="D27" s="203">
        <v>-10495</v>
      </c>
      <c r="E27" s="100">
        <f>-(E28*E14)</f>
        <v>-11334.6</v>
      </c>
      <c r="F27" s="100">
        <f>-(F28*F14)</f>
        <v>-11944.796479200004</v>
      </c>
      <c r="G27" s="100">
        <f>-(G28*G14)</f>
        <v>-12336.830825184004</v>
      </c>
      <c r="H27" s="100">
        <f>-(H28*H14)</f>
        <v>-12732.908025360966</v>
      </c>
      <c r="I27" s="100">
        <f>-(I28*I14)</f>
        <v>-13132.101898588498</v>
      </c>
      <c r="M27" s="94"/>
    </row>
    <row r="28" spans="2:13" ht="15" customHeight="1" x14ac:dyDescent="0.25">
      <c r="B28" s="54" t="s">
        <v>82</v>
      </c>
      <c r="D28" s="209">
        <f>-(D27/D14)</f>
        <v>4.033838892433525E-2</v>
      </c>
      <c r="E28" s="55">
        <f>D28</f>
        <v>4.033838892433525E-2</v>
      </c>
      <c r="F28" s="55">
        <v>3.9E-2</v>
      </c>
      <c r="G28" s="55">
        <v>3.7999999999999999E-2</v>
      </c>
      <c r="H28" s="55">
        <v>3.6999999999999998E-2</v>
      </c>
      <c r="I28" s="55">
        <v>3.5999999999999997E-2</v>
      </c>
      <c r="M28" s="94"/>
    </row>
    <row r="29" spans="2:13" x14ac:dyDescent="0.25">
      <c r="D29" s="58"/>
      <c r="E29" s="97"/>
      <c r="F29" s="97"/>
      <c r="G29" s="97"/>
      <c r="H29" s="97"/>
      <c r="I29" s="97"/>
      <c r="M29" s="94"/>
    </row>
    <row r="30" spans="2:13" x14ac:dyDescent="0.25">
      <c r="B30" s="11" t="s">
        <v>111</v>
      </c>
      <c r="C30" s="11"/>
      <c r="D30" s="98"/>
      <c r="E30" s="98">
        <f>E23+E25+E26+E27</f>
        <v>61407.738325440012</v>
      </c>
      <c r="F30" s="98">
        <f t="shared" ref="F30:I30" si="8">F23+F25+F26+F27</f>
        <v>66810.391671600009</v>
      </c>
      <c r="G30" s="98">
        <f t="shared" si="8"/>
        <v>68557.439640132026</v>
      </c>
      <c r="H30" s="98">
        <f t="shared" si="8"/>
        <v>72201.144952198927</v>
      </c>
      <c r="I30" s="98">
        <f t="shared" si="8"/>
        <v>75389.626442328808</v>
      </c>
      <c r="M30" s="98"/>
    </row>
    <row r="31" spans="2:13" x14ac:dyDescent="0.25">
      <c r="D31" s="87"/>
      <c r="M31" s="94"/>
    </row>
    <row r="32" spans="2:13" x14ac:dyDescent="0.25">
      <c r="B32" t="s">
        <v>81</v>
      </c>
      <c r="C32" s="58">
        <f>23186+3956+25809+12087-55888-33327-5966</f>
        <v>-30143</v>
      </c>
      <c r="D32" s="58">
        <f>22926+4106+22878+12352-46236-37720-5522</f>
        <v>-27216</v>
      </c>
      <c r="E32" s="79">
        <f>E33*E14</f>
        <v>-29393.280000000006</v>
      </c>
      <c r="F32" s="79">
        <f>F33*F14</f>
        <v>-32038.675200000012</v>
      </c>
      <c r="G32" s="79">
        <f>G33*G14</f>
        <v>-33960.995712000018</v>
      </c>
      <c r="H32" s="79">
        <f>H33*H14</f>
        <v>-35998.655454720021</v>
      </c>
      <c r="I32" s="79">
        <f>I33*I14</f>
        <v>-38158.574782003227</v>
      </c>
    </row>
    <row r="33" spans="2:13" x14ac:dyDescent="0.25">
      <c r="B33" s="54" t="s">
        <v>82</v>
      </c>
      <c r="D33" s="59">
        <f>D32/D14</f>
        <v>-0.10460691690945291</v>
      </c>
      <c r="E33" s="59">
        <f>D33</f>
        <v>-0.10460691690945291</v>
      </c>
      <c r="F33" s="59">
        <f t="shared" ref="F33:I33" si="9">E33</f>
        <v>-0.10460691690945291</v>
      </c>
      <c r="G33" s="59">
        <f t="shared" si="9"/>
        <v>-0.10460691690945291</v>
      </c>
      <c r="H33" s="59">
        <f t="shared" si="9"/>
        <v>-0.10460691690945291</v>
      </c>
      <c r="I33" s="59">
        <f t="shared" si="9"/>
        <v>-0.10460691690945291</v>
      </c>
      <c r="J33" s="87"/>
    </row>
    <row r="34" spans="2:13" x14ac:dyDescent="0.25">
      <c r="D34" s="87"/>
      <c r="E34" s="59"/>
      <c r="F34" s="59"/>
      <c r="G34" s="59"/>
      <c r="H34" s="59"/>
      <c r="I34" s="59"/>
      <c r="J34" s="87"/>
      <c r="K34" s="100"/>
      <c r="M34" s="59"/>
    </row>
    <row r="35" spans="2:13" x14ac:dyDescent="0.25">
      <c r="B35" s="51" t="str">
        <f>"Present value of UFCF on "&amp;TEXT(D7,"mmm dd, yyyy")&amp;" valuation date"</f>
        <v>Present value of UFCF on Feb 28, 2020 valuation date</v>
      </c>
      <c r="C35" s="71"/>
      <c r="D35" s="101"/>
      <c r="E35" s="71"/>
      <c r="F35" s="101"/>
      <c r="G35" s="101"/>
      <c r="H35" s="101"/>
      <c r="I35" s="101"/>
      <c r="J35" s="87"/>
    </row>
    <row r="36" spans="2:13" ht="17.25" x14ac:dyDescent="0.4">
      <c r="B36" s="11"/>
      <c r="D36" s="102" t="s">
        <v>114</v>
      </c>
      <c r="E36" s="102" t="s">
        <v>115</v>
      </c>
      <c r="F36" s="103" t="s">
        <v>116</v>
      </c>
      <c r="G36" s="103" t="s">
        <v>117</v>
      </c>
      <c r="H36" s="103" t="s">
        <v>118</v>
      </c>
      <c r="I36" s="103" t="s">
        <v>119</v>
      </c>
      <c r="J36" s="87"/>
    </row>
    <row r="37" spans="2:13" x14ac:dyDescent="0.25">
      <c r="B37" t="s">
        <v>120</v>
      </c>
      <c r="C37" s="210"/>
      <c r="D37" s="1">
        <f>D7</f>
        <v>43889</v>
      </c>
      <c r="E37" s="1">
        <f>IF($H$7=0,E12,AVERAGE(D37,E12))</f>
        <v>44104</v>
      </c>
      <c r="F37" s="1">
        <f>IF($H$7=0,F12,AVERAGE(F12,E12))</f>
        <v>44469</v>
      </c>
      <c r="G37" s="1">
        <f>IF($H$7=0,G12,AVERAGE(G12,F12))</f>
        <v>44834</v>
      </c>
      <c r="H37" s="1">
        <f>IF($H$7=0,H12,AVERAGE(H12,G12))</f>
        <v>45199</v>
      </c>
      <c r="I37" s="1">
        <f>IF($H$7=0,I12,AVERAGE(I12,H12))</f>
        <v>45565</v>
      </c>
      <c r="J37" s="87"/>
    </row>
    <row r="38" spans="2:13" x14ac:dyDescent="0.25">
      <c r="B38" t="s">
        <v>122</v>
      </c>
      <c r="C38" s="211">
        <f>D8</f>
        <v>0.58888888888888891</v>
      </c>
      <c r="D38" s="94"/>
      <c r="E38" s="212">
        <f>C38*E30</f>
        <v>36162.334791648005</v>
      </c>
      <c r="F38" s="212">
        <f>F30</f>
        <v>66810.391671600009</v>
      </c>
      <c r="G38" s="212">
        <f t="shared" ref="G38:I38" si="10">G30</f>
        <v>68557.439640132026</v>
      </c>
      <c r="H38" s="212">
        <f t="shared" si="10"/>
        <v>72201.144952198927</v>
      </c>
      <c r="I38" s="212">
        <f t="shared" si="10"/>
        <v>75389.626442328808</v>
      </c>
      <c r="J38" s="79"/>
      <c r="K38" t="s">
        <v>123</v>
      </c>
    </row>
    <row r="39" spans="2:13" ht="15" customHeight="1" x14ac:dyDescent="0.25">
      <c r="B39" s="11" t="s">
        <v>124</v>
      </c>
      <c r="C39" s="107"/>
      <c r="E39" s="98">
        <f>E38/(1+$H$4)^((E37-$D$37)/365)</f>
        <v>34599.902423480904</v>
      </c>
      <c r="F39" s="98">
        <f t="shared" ref="F39:I39" si="11">F38/(1+$H$4)^((F37-$D$37)/365)</f>
        <v>59305.959550114894</v>
      </c>
      <c r="G39" s="98">
        <f t="shared" si="11"/>
        <v>56460.512635660969</v>
      </c>
      <c r="H39" s="98">
        <f t="shared" si="11"/>
        <v>55165.837962209051</v>
      </c>
      <c r="I39" s="98">
        <f t="shared" si="11"/>
        <v>53429.906888997117</v>
      </c>
      <c r="J39" s="79"/>
    </row>
    <row r="41" spans="2:13" x14ac:dyDescent="0.25">
      <c r="B41" s="51" t="s">
        <v>125</v>
      </c>
      <c r="C41" s="51"/>
      <c r="E41" s="51" t="s">
        <v>126</v>
      </c>
      <c r="F41" s="71"/>
      <c r="G41" s="71"/>
      <c r="H41" s="71"/>
      <c r="I41" s="71"/>
    </row>
    <row r="42" spans="2:13" x14ac:dyDescent="0.25">
      <c r="B42" t="s">
        <v>127</v>
      </c>
      <c r="C42" s="55">
        <v>0.03</v>
      </c>
      <c r="E42" t="s">
        <v>128</v>
      </c>
      <c r="I42" s="94">
        <f>I16</f>
        <v>102138.57032235501</v>
      </c>
      <c r="J42" s="94"/>
    </row>
    <row r="43" spans="2:13" x14ac:dyDescent="0.25">
      <c r="B43" s="109" t="str">
        <f>YEAR(I12)&amp;" FCF x (1+g)"</f>
        <v>2024 FCF x (1+g)</v>
      </c>
      <c r="C43" s="94">
        <f>I30*(1+C42)</f>
        <v>77651.315235598668</v>
      </c>
      <c r="E43" t="s">
        <v>129</v>
      </c>
      <c r="I43" s="111">
        <v>12.5</v>
      </c>
      <c r="J43" s="111"/>
    </row>
    <row r="44" spans="2:13" x14ac:dyDescent="0.25">
      <c r="B44" t="str">
        <f>"Terminal value in "&amp;YEAR(I12)</f>
        <v>Terminal value in 2024</v>
      </c>
      <c r="C44" s="94">
        <f>C43/(H4-C42)</f>
        <v>1622321.8103578528</v>
      </c>
      <c r="E44" t="str">
        <f>"Terminal value in "&amp;YEAR(I12)</f>
        <v>Terminal value in 2024</v>
      </c>
      <c r="I44" s="94">
        <f>I42*I43</f>
        <v>1276732.1290294377</v>
      </c>
      <c r="J44" s="94"/>
    </row>
    <row r="45" spans="2:13" x14ac:dyDescent="0.25">
      <c r="B45" t="s">
        <v>130</v>
      </c>
      <c r="C45" s="94">
        <f>C44/(1+H4)^((I37-D37)/365)</f>
        <v>1149766.9820358872</v>
      </c>
      <c r="E45" t="s">
        <v>130</v>
      </c>
      <c r="I45" s="94">
        <f>I44/(1+H4)^((I37-D37)/365)</f>
        <v>904841.71358001372</v>
      </c>
      <c r="J45" s="94"/>
    </row>
    <row r="46" spans="2:13" x14ac:dyDescent="0.25">
      <c r="B46" t="s">
        <v>131</v>
      </c>
      <c r="C46" s="79">
        <f>SUM(E39:I39)</f>
        <v>258962.11946046294</v>
      </c>
      <c r="E46" t="s">
        <v>131</v>
      </c>
      <c r="I46" s="94">
        <f>C46</f>
        <v>258962.11946046294</v>
      </c>
      <c r="J46" s="94"/>
    </row>
    <row r="47" spans="2:13" x14ac:dyDescent="0.25">
      <c r="B47" s="11" t="s">
        <v>132</v>
      </c>
      <c r="C47" s="113">
        <f>SUM(C45:C46)</f>
        <v>1408729.10149635</v>
      </c>
      <c r="D47" s="31"/>
      <c r="E47" s="11" t="s">
        <v>133</v>
      </c>
      <c r="I47" s="113">
        <f>SUM(I45:I46)</f>
        <v>1163803.8330404768</v>
      </c>
      <c r="J47" s="113"/>
    </row>
    <row r="48" spans="2:13" x14ac:dyDescent="0.25">
      <c r="D48" s="92"/>
    </row>
    <row r="49" spans="2:12" x14ac:dyDescent="0.25">
      <c r="B49" s="114" t="s">
        <v>134</v>
      </c>
      <c r="C49" s="116">
        <f>C45/$C$47</f>
        <v>0.81617323076140502</v>
      </c>
      <c r="E49" s="114" t="s">
        <v>134</v>
      </c>
      <c r="I49" s="116">
        <f>I45/$I$47</f>
        <v>0.77748645252016757</v>
      </c>
      <c r="J49" s="116"/>
    </row>
    <row r="50" spans="2:12" x14ac:dyDescent="0.25">
      <c r="B50" s="114" t="s">
        <v>135</v>
      </c>
      <c r="C50" s="116">
        <f t="shared" ref="C50" si="12">C46/$C$47</f>
        <v>0.18382676923859509</v>
      </c>
      <c r="E50" s="114" t="s">
        <v>135</v>
      </c>
      <c r="G50" s="117"/>
      <c r="I50" s="116">
        <f t="shared" ref="I50" si="13">I46/$I$47</f>
        <v>0.22251354747983229</v>
      </c>
      <c r="J50" s="92"/>
    </row>
    <row r="51" spans="2:12" x14ac:dyDescent="0.25">
      <c r="B51" s="114" t="s">
        <v>136</v>
      </c>
      <c r="C51" s="121">
        <f>C44/I16</f>
        <v>15.883537484788704</v>
      </c>
      <c r="E51" t="s">
        <v>137</v>
      </c>
      <c r="I51" s="120">
        <f>(H4-I38/I44)/(1+I38/I44)</f>
        <v>1.7766329603552719E-2</v>
      </c>
      <c r="J51" s="120"/>
    </row>
    <row r="52" spans="2:12" x14ac:dyDescent="0.25">
      <c r="B52" s="114"/>
      <c r="C52" s="24"/>
      <c r="D52" s="121"/>
      <c r="I52" s="120"/>
      <c r="J52" s="120"/>
    </row>
    <row r="53" spans="2:12" x14ac:dyDescent="0.25">
      <c r="B53" s="51" t="s">
        <v>138</v>
      </c>
      <c r="C53" s="71"/>
      <c r="E53" s="51" t="s">
        <v>139</v>
      </c>
      <c r="F53" s="71"/>
      <c r="G53" s="51"/>
      <c r="H53" s="71"/>
      <c r="I53" s="71"/>
    </row>
    <row r="54" spans="2:12" x14ac:dyDescent="0.25">
      <c r="B54" t="s">
        <v>140</v>
      </c>
      <c r="C54" s="199" t="s">
        <v>141</v>
      </c>
      <c r="L54" s="56"/>
    </row>
    <row r="55" spans="2:12" x14ac:dyDescent="0.25">
      <c r="B55" s="122" t="s">
        <v>142</v>
      </c>
      <c r="C55" s="197">
        <v>43827</v>
      </c>
      <c r="G55" s="30" t="s">
        <v>140</v>
      </c>
      <c r="H55" s="123" t="s">
        <v>143</v>
      </c>
      <c r="I55" s="123" t="s">
        <v>144</v>
      </c>
    </row>
    <row r="56" spans="2:12" x14ac:dyDescent="0.25">
      <c r="B56" s="124" t="s">
        <v>145</v>
      </c>
      <c r="C56" s="125"/>
      <c r="E56" t="s">
        <v>146</v>
      </c>
      <c r="G56" s="199" t="s">
        <v>141</v>
      </c>
      <c r="H56" s="199">
        <v>43847</v>
      </c>
      <c r="I56" s="127">
        <v>4375.4799999999996</v>
      </c>
      <c r="J56" s="127"/>
    </row>
    <row r="57" spans="2:12" x14ac:dyDescent="0.25">
      <c r="B57" s="54" t="s">
        <v>147</v>
      </c>
      <c r="C57" s="100">
        <f>4990+10224+93078</f>
        <v>108292</v>
      </c>
      <c r="E57" s="122" t="s">
        <v>148</v>
      </c>
      <c r="G57" s="199" t="s">
        <v>141</v>
      </c>
      <c r="H57" s="199">
        <v>43827</v>
      </c>
      <c r="I57" s="127">
        <v>96.02</v>
      </c>
      <c r="J57" s="128"/>
    </row>
    <row r="58" spans="2:12" ht="15" customHeight="1" x14ac:dyDescent="0.25">
      <c r="B58" s="54"/>
      <c r="E58" s="122" t="s">
        <v>150</v>
      </c>
      <c r="G58" s="199"/>
      <c r="H58" s="199"/>
      <c r="I58" s="269" t="e">
        <f>#REF!</f>
        <v>#REF!</v>
      </c>
      <c r="K58" t="s">
        <v>226</v>
      </c>
    </row>
    <row r="59" spans="2:12" ht="15" customHeight="1" x14ac:dyDescent="0.25">
      <c r="B59" s="54"/>
      <c r="E59" t="s">
        <v>149</v>
      </c>
      <c r="G59" s="199"/>
      <c r="H59" s="199"/>
      <c r="I59" s="269" t="e">
        <f>#REF!</f>
        <v>#REF!</v>
      </c>
      <c r="K59" t="s">
        <v>227</v>
      </c>
    </row>
    <row r="60" spans="2:12" x14ac:dyDescent="0.25">
      <c r="B60" s="131" t="s">
        <v>152</v>
      </c>
      <c r="C60" s="97">
        <v>0</v>
      </c>
      <c r="E60" t="s">
        <v>153</v>
      </c>
      <c r="G60" s="199"/>
      <c r="H60" s="199"/>
      <c r="I60" s="269" t="e">
        <f>#REF!</f>
        <v>#REF!</v>
      </c>
      <c r="K60" t="s">
        <v>228</v>
      </c>
    </row>
    <row r="61" spans="2:12" ht="15" customHeight="1" x14ac:dyDescent="0.25">
      <c r="B61" s="124" t="s">
        <v>154</v>
      </c>
      <c r="E61" s="132" t="s">
        <v>155</v>
      </c>
      <c r="I61" s="214" t="e">
        <f>SUM(I56:I60)</f>
        <v>#REF!</v>
      </c>
      <c r="J61" s="134"/>
    </row>
    <row r="62" spans="2:12" x14ac:dyDescent="0.25">
      <c r="B62" s="135" t="s">
        <v>156</v>
      </c>
      <c r="C62" s="97">
        <f>39771+67391+99899</f>
        <v>207061</v>
      </c>
      <c r="J62" s="136"/>
    </row>
    <row r="63" spans="2:12" x14ac:dyDescent="0.25">
      <c r="B63" s="135" t="s">
        <v>157</v>
      </c>
      <c r="C63" s="97">
        <v>0</v>
      </c>
      <c r="J63" s="136"/>
    </row>
    <row r="64" spans="2:12" x14ac:dyDescent="0.25">
      <c r="J64" s="137"/>
    </row>
    <row r="65" spans="2:17" x14ac:dyDescent="0.25">
      <c r="B65" s="138" t="s">
        <v>138</v>
      </c>
      <c r="C65" s="53">
        <f>SUM(C57:C60)-SUM(C62:C63)</f>
        <v>-98769</v>
      </c>
    </row>
    <row r="67" spans="2:17" x14ac:dyDescent="0.25">
      <c r="B67" s="51" t="s">
        <v>158</v>
      </c>
      <c r="C67" s="71"/>
      <c r="D67" s="71"/>
    </row>
    <row r="68" spans="2:17" ht="17.25" x14ac:dyDescent="0.4">
      <c r="C68" s="140" t="s">
        <v>159</v>
      </c>
      <c r="D68" s="140" t="s">
        <v>98</v>
      </c>
    </row>
    <row r="69" spans="2:17" x14ac:dyDescent="0.25">
      <c r="B69" t="s">
        <v>160</v>
      </c>
      <c r="C69" s="215">
        <f>C47</f>
        <v>1408729.10149635</v>
      </c>
      <c r="D69" s="215">
        <f>I47</f>
        <v>1163803.8330404768</v>
      </c>
    </row>
    <row r="70" spans="2:17" x14ac:dyDescent="0.25">
      <c r="B70" t="s">
        <v>138</v>
      </c>
      <c r="C70" s="216">
        <f>C65</f>
        <v>-98769</v>
      </c>
      <c r="D70" s="216">
        <f>C70</f>
        <v>-98769</v>
      </c>
    </row>
    <row r="71" spans="2:17" x14ac:dyDescent="0.25">
      <c r="B71" t="s">
        <v>161</v>
      </c>
      <c r="C71" s="217">
        <f>C69-C70</f>
        <v>1507498.10149635</v>
      </c>
      <c r="D71" s="217">
        <f>D69-D70</f>
        <v>1262572.8330404768</v>
      </c>
    </row>
    <row r="72" spans="2:17" x14ac:dyDescent="0.25">
      <c r="B72" t="s">
        <v>139</v>
      </c>
      <c r="C72" s="217" t="e">
        <f>I61</f>
        <v>#REF!</v>
      </c>
      <c r="D72" s="217" t="e">
        <f>C72</f>
        <v>#REF!</v>
      </c>
    </row>
    <row r="73" spans="2:17" x14ac:dyDescent="0.25">
      <c r="B73" s="11" t="s">
        <v>162</v>
      </c>
      <c r="C73" s="145" t="e">
        <f>C71/C72</f>
        <v>#REF!</v>
      </c>
      <c r="D73" s="145" t="e">
        <f t="shared" ref="D73" si="14">D71/D72</f>
        <v>#REF!</v>
      </c>
    </row>
    <row r="74" spans="2:17" x14ac:dyDescent="0.25">
      <c r="B74" s="11"/>
      <c r="C74" s="145"/>
      <c r="D74" s="145"/>
    </row>
    <row r="75" spans="2:17" x14ac:dyDescent="0.25">
      <c r="B75" s="30" t="s">
        <v>163</v>
      </c>
      <c r="C75" s="123" t="s">
        <v>159</v>
      </c>
      <c r="D75" s="123" t="s">
        <v>98</v>
      </c>
      <c r="E75" s="146"/>
      <c r="F75" s="146"/>
    </row>
    <row r="76" spans="2:17" x14ac:dyDescent="0.25">
      <c r="B76" t="s">
        <v>164</v>
      </c>
      <c r="C76" s="218">
        <f>C69/$E$14</f>
        <v>5.0134863502187201</v>
      </c>
      <c r="D76" s="218">
        <f>D69/$E$14</f>
        <v>4.1418287058051346</v>
      </c>
      <c r="E76" s="146"/>
      <c r="F76" s="146"/>
    </row>
    <row r="77" spans="2:17" x14ac:dyDescent="0.25">
      <c r="B77" t="s">
        <v>165</v>
      </c>
      <c r="C77" s="146">
        <f>C69/$E$16</f>
        <v>17.287883966271451</v>
      </c>
      <c r="D77" s="146">
        <f>D69/$E$16</f>
        <v>14.282167951052188</v>
      </c>
      <c r="E77" s="146"/>
      <c r="F77" s="146"/>
      <c r="G77" s="149"/>
      <c r="H77" s="149"/>
    </row>
    <row r="78" spans="2:17" x14ac:dyDescent="0.25">
      <c r="B78" s="79" t="s">
        <v>166</v>
      </c>
      <c r="C78" s="146">
        <f>C69/$E$18</f>
        <v>20.380025813897237</v>
      </c>
      <c r="D78" s="146">
        <f>D69/$E$18</f>
        <v>16.836702056118433</v>
      </c>
      <c r="E78" s="146"/>
      <c r="F78" s="150"/>
    </row>
    <row r="79" spans="2:17" x14ac:dyDescent="0.25">
      <c r="F79" s="149"/>
    </row>
    <row r="80" spans="2:17" x14ac:dyDescent="0.25">
      <c r="B80" s="51" t="s">
        <v>167</v>
      </c>
      <c r="C80" s="51"/>
      <c r="D80" s="51"/>
      <c r="E80" s="51"/>
      <c r="F80" s="51"/>
      <c r="G80" s="51"/>
      <c r="H80" s="51"/>
      <c r="I80" s="51"/>
      <c r="J80" s="51"/>
      <c r="K80" s="51"/>
      <c r="L80" s="51"/>
      <c r="M80" s="51"/>
      <c r="N80" s="51"/>
      <c r="O80" s="51"/>
      <c r="P80" s="51"/>
      <c r="Q80" s="51"/>
    </row>
    <row r="81" spans="2:17" x14ac:dyDescent="0.25">
      <c r="B81" s="11"/>
    </row>
    <row r="82" spans="2:17" ht="17.25" customHeight="1" x14ac:dyDescent="0.4">
      <c r="B82" s="151"/>
      <c r="C82" s="11"/>
      <c r="D82" s="152" t="s">
        <v>162</v>
      </c>
      <c r="E82" s="50"/>
      <c r="F82" s="50"/>
      <c r="G82" s="50"/>
      <c r="H82" s="50"/>
      <c r="I82" s="50"/>
      <c r="J82" s="153"/>
      <c r="L82" s="152" t="s">
        <v>168</v>
      </c>
      <c r="M82" s="50"/>
      <c r="N82" s="50"/>
      <c r="O82" s="50"/>
      <c r="P82" s="50"/>
      <c r="Q82" s="50"/>
    </row>
    <row r="83" spans="2:17" ht="15" customHeight="1" x14ac:dyDescent="0.25">
      <c r="B83" s="151"/>
      <c r="D83" s="122"/>
      <c r="E83" s="2" t="s">
        <v>169</v>
      </c>
      <c r="F83" s="2"/>
      <c r="G83" s="2"/>
      <c r="H83" s="2"/>
      <c r="I83" s="2"/>
      <c r="J83" s="154"/>
      <c r="L83" s="122"/>
      <c r="M83" s="2" t="s">
        <v>169</v>
      </c>
      <c r="N83" s="2"/>
      <c r="O83" s="2"/>
      <c r="P83" s="2"/>
      <c r="Q83" s="2"/>
    </row>
    <row r="84" spans="2:17" ht="15" customHeight="1" x14ac:dyDescent="0.25">
      <c r="B84" s="151"/>
      <c r="C84" s="155"/>
      <c r="D84" s="156" t="e">
        <f>C73</f>
        <v>#REF!</v>
      </c>
      <c r="E84" s="157">
        <f t="shared" ref="E84" si="15">F84-0.005</f>
        <v>1.9999999999999997E-2</v>
      </c>
      <c r="F84" s="158">
        <f>G84-0.005</f>
        <v>2.4999999999999998E-2</v>
      </c>
      <c r="G84" s="159">
        <v>0.03</v>
      </c>
      <c r="H84" s="158">
        <f>G84+0.005</f>
        <v>3.4999999999999996E-2</v>
      </c>
      <c r="I84" s="158">
        <f t="shared" ref="I84" si="16">H84+0.005</f>
        <v>3.9999999999999994E-2</v>
      </c>
      <c r="J84" s="160"/>
      <c r="L84" s="161">
        <f>C77</f>
        <v>17.287883966271451</v>
      </c>
      <c r="M84" s="157">
        <f t="shared" ref="M84" si="17">N84-0.005</f>
        <v>1.9999999999999997E-2</v>
      </c>
      <c r="N84" s="158">
        <f>O84-0.005</f>
        <v>2.4999999999999998E-2</v>
      </c>
      <c r="O84" s="159">
        <v>0.03</v>
      </c>
      <c r="P84" s="158">
        <f>O84+0.005</f>
        <v>3.4999999999999996E-2</v>
      </c>
      <c r="Q84" s="158">
        <f t="shared" ref="Q84" si="18">P84+0.005</f>
        <v>3.9999999999999994E-2</v>
      </c>
    </row>
    <row r="85" spans="2:17" ht="15" customHeight="1" x14ac:dyDescent="0.25">
      <c r="B85" s="151"/>
      <c r="D85" s="162">
        <f t="shared" ref="D85" si="19">D86+0.005</f>
        <v>0.1</v>
      </c>
      <c r="E85" s="163" t="e">
        <f t="dataTable" ref="E85:I89" dt2D="1" dtr="1" r1="C42" r2="H4"/>
        <v>#REF!</v>
      </c>
      <c r="F85" s="163" t="e">
        <v>#REF!</v>
      </c>
      <c r="G85" s="163" t="e">
        <v>#REF!</v>
      </c>
      <c r="H85" s="163" t="e">
        <v>#REF!</v>
      </c>
      <c r="I85" s="163" t="e">
        <v>#REF!</v>
      </c>
      <c r="J85" s="164"/>
      <c r="L85" s="162">
        <f t="shared" ref="L85" si="20">L86+0.005</f>
        <v>0.1</v>
      </c>
      <c r="M85" s="165">
        <f t="dataTable" ref="M85:Q89" dt2D="1" dtr="1" r1="C42" r2="H4" ca="1"/>
        <v>10.623194359987965</v>
      </c>
      <c r="N85" s="165">
        <v>11.170678125028855</v>
      </c>
      <c r="O85" s="165">
        <v>11.796373856504161</v>
      </c>
      <c r="P85" s="165">
        <v>12.518330469744898</v>
      </c>
      <c r="Q85" s="165">
        <v>13.360613185192424</v>
      </c>
    </row>
    <row r="86" spans="2:17" ht="15" customHeight="1" x14ac:dyDescent="0.25">
      <c r="B86" s="151"/>
      <c r="D86" s="162">
        <f>D87+0.005</f>
        <v>9.5000000000000001E-2</v>
      </c>
      <c r="E86" s="163" t="e">
        <v>#REF!</v>
      </c>
      <c r="F86" s="163" t="e">
        <v>#REF!</v>
      </c>
      <c r="G86" s="163" t="e">
        <v>#REF!</v>
      </c>
      <c r="H86" s="163" t="e">
        <v>#REF!</v>
      </c>
      <c r="I86" s="163" t="e">
        <v>#REF!</v>
      </c>
      <c r="J86" s="164"/>
      <c r="L86" s="162">
        <f>L87+0.005</f>
        <v>9.5000000000000001E-2</v>
      </c>
      <c r="M86" s="165">
        <v>11.339619369356896</v>
      </c>
      <c r="N86" s="165">
        <v>11.975637897644754</v>
      </c>
      <c r="O86" s="165">
        <v>12.70950543028459</v>
      </c>
      <c r="P86" s="165">
        <v>13.565684218364398</v>
      </c>
      <c r="Q86" s="165">
        <v>14.577531877004173</v>
      </c>
    </row>
    <row r="87" spans="2:17" ht="15" customHeight="1" x14ac:dyDescent="0.25">
      <c r="B87" s="151"/>
      <c r="C87" s="155" t="s">
        <v>170</v>
      </c>
      <c r="D87" s="166">
        <v>0.09</v>
      </c>
      <c r="E87" s="163" t="e">
        <v>#REF!</v>
      </c>
      <c r="F87" s="163" t="e">
        <v>#REF!</v>
      </c>
      <c r="G87" s="163" t="e">
        <v>#REF!</v>
      </c>
      <c r="H87" s="163" t="e">
        <v>#REF!</v>
      </c>
      <c r="I87" s="163" t="e">
        <v>#REF!</v>
      </c>
      <c r="J87" s="164"/>
      <c r="K87" s="155" t="s">
        <v>170</v>
      </c>
      <c r="L87" s="166">
        <v>0.09</v>
      </c>
      <c r="M87" s="165">
        <v>12.158600506522676</v>
      </c>
      <c r="N87" s="165">
        <v>12.904631334668281</v>
      </c>
      <c r="O87" s="165">
        <v>13.775000634171491</v>
      </c>
      <c r="P87" s="165">
        <v>14.803618897220739</v>
      </c>
      <c r="Q87" s="165">
        <v>16.037960812879835</v>
      </c>
    </row>
    <row r="88" spans="2:17" ht="15" customHeight="1" x14ac:dyDescent="0.25">
      <c r="B88" s="151"/>
      <c r="D88" s="162">
        <f>D87-0.005</f>
        <v>8.4999999999999992E-2</v>
      </c>
      <c r="E88" s="163" t="e">
        <v>#REF!</v>
      </c>
      <c r="F88" s="163" t="e">
        <v>#REF!</v>
      </c>
      <c r="G88" s="163" t="e">
        <v>#REF!</v>
      </c>
      <c r="H88" s="163" t="e">
        <v>#REF!</v>
      </c>
      <c r="I88" s="163" t="e">
        <v>#REF!</v>
      </c>
      <c r="J88" s="164"/>
      <c r="L88" s="162">
        <f>L87-0.005</f>
        <v>8.4999999999999992E-2</v>
      </c>
      <c r="M88" s="165">
        <v>13.103809308491162</v>
      </c>
      <c r="N88" s="165">
        <v>13.988671190828663</v>
      </c>
      <c r="O88" s="165">
        <v>15.034417051772985</v>
      </c>
      <c r="P88" s="165">
        <v>16.289312084906172</v>
      </c>
      <c r="Q88" s="165">
        <v>17.823072680957839</v>
      </c>
    </row>
    <row r="89" spans="2:17" ht="15" customHeight="1" x14ac:dyDescent="0.25">
      <c r="B89" s="167" t="s">
        <v>171</v>
      </c>
      <c r="D89" s="168">
        <f>D88-0.005</f>
        <v>7.9999999999999988E-2</v>
      </c>
      <c r="E89" s="163" t="e">
        <v>#REF!</v>
      </c>
      <c r="F89" s="163" t="e">
        <v>#REF!</v>
      </c>
      <c r="G89" s="163" t="e">
        <v>#REF!</v>
      </c>
      <c r="H89" s="163" t="e">
        <v>#REF!</v>
      </c>
      <c r="I89" s="163" t="e">
        <v>#REF!</v>
      </c>
      <c r="J89" s="164"/>
      <c r="L89" s="168">
        <f>L88-0.005</f>
        <v>7.9999999999999988E-2</v>
      </c>
      <c r="M89" s="165">
        <v>14.206807961597256</v>
      </c>
      <c r="N89" s="165">
        <v>15.270047711222009</v>
      </c>
      <c r="O89" s="165">
        <v>16.545935410771719</v>
      </c>
      <c r="P89" s="165">
        <v>18.105353710221362</v>
      </c>
      <c r="Q89" s="165">
        <v>20.054626584533416</v>
      </c>
    </row>
    <row r="90" spans="2:17" ht="15" customHeight="1" x14ac:dyDescent="0.25">
      <c r="B90" s="167" t="s">
        <v>172</v>
      </c>
      <c r="E90" s="169"/>
      <c r="F90" s="169"/>
      <c r="G90" s="169"/>
      <c r="H90" s="169"/>
      <c r="I90" s="169"/>
      <c r="J90" s="170"/>
    </row>
    <row r="91" spans="2:17" ht="17.25" customHeight="1" x14ac:dyDescent="0.4">
      <c r="B91" s="151"/>
      <c r="D91" s="152" t="s">
        <v>162</v>
      </c>
      <c r="E91" s="50"/>
      <c r="F91" s="50"/>
      <c r="G91" s="50"/>
      <c r="H91" s="50"/>
      <c r="I91" s="50"/>
      <c r="J91" s="153"/>
      <c r="L91" s="152" t="s">
        <v>168</v>
      </c>
      <c r="M91" s="50"/>
      <c r="N91" s="50"/>
      <c r="O91" s="50"/>
      <c r="P91" s="50"/>
      <c r="Q91" s="50"/>
    </row>
    <row r="92" spans="2:17" ht="15" customHeight="1" x14ac:dyDescent="0.25">
      <c r="B92" s="151"/>
      <c r="E92" s="2" t="s">
        <v>173</v>
      </c>
      <c r="F92" s="2"/>
      <c r="G92" s="2"/>
      <c r="H92" s="2"/>
      <c r="I92" s="2"/>
      <c r="J92" s="154"/>
      <c r="M92" s="2" t="s">
        <v>173</v>
      </c>
      <c r="N92" s="2"/>
      <c r="O92" s="2"/>
      <c r="P92" s="2"/>
      <c r="Q92" s="2"/>
    </row>
    <row r="93" spans="2:17" ht="15" customHeight="1" x14ac:dyDescent="0.25">
      <c r="B93" s="151"/>
      <c r="D93" s="171" t="e">
        <f>D73</f>
        <v>#REF!</v>
      </c>
      <c r="E93" s="172">
        <f t="shared" ref="E93" si="21">F93-0.5</f>
        <v>11.5</v>
      </c>
      <c r="F93" s="172">
        <f>G93-0.5</f>
        <v>12</v>
      </c>
      <c r="G93" s="173">
        <v>12.5</v>
      </c>
      <c r="H93" s="172">
        <f>G93+0.5</f>
        <v>13</v>
      </c>
      <c r="I93" s="172">
        <f t="shared" ref="I93" si="22">H93+0.5</f>
        <v>13.5</v>
      </c>
      <c r="J93" s="174"/>
      <c r="L93" s="161">
        <f>D77</f>
        <v>14.282167951052188</v>
      </c>
      <c r="M93" s="172">
        <f t="shared" ref="M93" si="23">N93-0.5</f>
        <v>11.5</v>
      </c>
      <c r="N93" s="172">
        <f>O93-0.5</f>
        <v>12</v>
      </c>
      <c r="O93" s="173">
        <v>12.5</v>
      </c>
      <c r="P93" s="172">
        <f>O93+0.5</f>
        <v>13</v>
      </c>
      <c r="Q93" s="172">
        <f t="shared" ref="Q93" si="24">P93+0.5</f>
        <v>13.5</v>
      </c>
    </row>
    <row r="94" spans="2:17" ht="15" customHeight="1" x14ac:dyDescent="0.25">
      <c r="B94" s="151"/>
      <c r="D94" s="162">
        <f t="shared" ref="D94" si="25">D95+0.005</f>
        <v>0.1</v>
      </c>
      <c r="E94" s="163" t="e">
        <f t="dataTable" ref="E94:I98" dt2D="1" dtr="1" r1="I43" r2="H4" ca="1"/>
        <v>#REF!</v>
      </c>
      <c r="F94" s="163" t="e">
        <v>#REF!</v>
      </c>
      <c r="G94" s="163" t="e">
        <v>#REF!</v>
      </c>
      <c r="H94" s="163" t="e">
        <v>#REF!</v>
      </c>
      <c r="I94" s="163" t="e">
        <v>#REF!</v>
      </c>
      <c r="J94" s="164"/>
      <c r="L94" s="162">
        <f t="shared" ref="L94" si="26">L95+0.005</f>
        <v>0.1</v>
      </c>
      <c r="M94" s="165">
        <f t="dataTable" ref="M94:Q98" dt2D="1" dtr="1" r1="I43" r2="H4" ca="1"/>
        <v>12.31360968402254</v>
      </c>
      <c r="N94" s="165">
        <v>12.718193022424265</v>
      </c>
      <c r="O94" s="165">
        <v>13.122776360825991</v>
      </c>
      <c r="P94" s="165">
        <v>13.527359699227718</v>
      </c>
      <c r="Q94" s="165">
        <v>13.931943037629443</v>
      </c>
    </row>
    <row r="95" spans="2:17" ht="15" customHeight="1" x14ac:dyDescent="0.25">
      <c r="B95" s="151"/>
      <c r="D95" s="162">
        <f>D96+0.005</f>
        <v>9.5000000000000001E-2</v>
      </c>
      <c r="E95" s="163" t="e">
        <v>#REF!</v>
      </c>
      <c r="F95" s="163" t="e">
        <v>#REF!</v>
      </c>
      <c r="G95" s="163" t="e">
        <v>#REF!</v>
      </c>
      <c r="H95" s="163" t="e">
        <v>#REF!</v>
      </c>
      <c r="I95" s="163" t="e">
        <v>#REF!</v>
      </c>
      <c r="J95" s="164"/>
      <c r="L95" s="162">
        <f>L96+0.005</f>
        <v>9.5000000000000001E-2</v>
      </c>
      <c r="M95" s="165">
        <v>12.54737082426897</v>
      </c>
      <c r="N95" s="165">
        <v>12.960506914286018</v>
      </c>
      <c r="O95" s="165">
        <v>13.373643004303066</v>
      </c>
      <c r="P95" s="165">
        <v>13.78677909432011</v>
      </c>
      <c r="Q95" s="165">
        <v>14.199915184337158</v>
      </c>
    </row>
    <row r="96" spans="2:17" ht="15" customHeight="1" x14ac:dyDescent="0.25">
      <c r="B96" s="151"/>
      <c r="C96" s="155" t="s">
        <v>170</v>
      </c>
      <c r="D96" s="166">
        <v>0.09</v>
      </c>
      <c r="E96" s="163" t="e">
        <v>#REF!</v>
      </c>
      <c r="F96" s="163" t="e">
        <v>#REF!</v>
      </c>
      <c r="G96" s="163" t="e">
        <v>#REF!</v>
      </c>
      <c r="H96" s="163" t="e">
        <v>#REF!</v>
      </c>
      <c r="I96" s="163" t="e">
        <v>#REF!</v>
      </c>
      <c r="J96" s="164"/>
      <c r="K96" s="155" t="s">
        <v>170</v>
      </c>
      <c r="L96" s="166">
        <v>0.09</v>
      </c>
      <c r="M96" s="165">
        <v>12.786963644100345</v>
      </c>
      <c r="N96" s="165">
        <v>13.20887368004651</v>
      </c>
      <c r="O96" s="165">
        <v>13.630783715992679</v>
      </c>
      <c r="P96" s="165">
        <v>14.052693751938843</v>
      </c>
      <c r="Q96" s="165">
        <v>14.474603787885012</v>
      </c>
    </row>
    <row r="97" spans="2:17" ht="15" customHeight="1" x14ac:dyDescent="0.25">
      <c r="B97" s="151"/>
      <c r="D97" s="162">
        <f>D96-0.005</f>
        <v>8.4999999999999992E-2</v>
      </c>
      <c r="E97" s="163" t="e">
        <v>#REF!</v>
      </c>
      <c r="F97" s="163" t="e">
        <v>#REF!</v>
      </c>
      <c r="G97" s="163" t="e">
        <v>#REF!</v>
      </c>
      <c r="H97" s="163" t="e">
        <v>#REF!</v>
      </c>
      <c r="I97" s="163" t="e">
        <v>#REF!</v>
      </c>
      <c r="J97" s="164"/>
      <c r="L97" s="162">
        <f>L96-0.005</f>
        <v>8.4999999999999992E-2</v>
      </c>
      <c r="M97" s="165">
        <v>13.032563502504866</v>
      </c>
      <c r="N97" s="165">
        <v>13.463475453629524</v>
      </c>
      <c r="O97" s="165">
        <v>13.894387404754186</v>
      </c>
      <c r="P97" s="165">
        <v>14.325299355878846</v>
      </c>
      <c r="Q97" s="165">
        <v>14.756211307003507</v>
      </c>
    </row>
    <row r="98" spans="2:17" ht="15" customHeight="1" x14ac:dyDescent="0.25">
      <c r="B98" s="151"/>
      <c r="D98" s="168">
        <f>D97-0.005</f>
        <v>7.9999999999999988E-2</v>
      </c>
      <c r="E98" s="163" t="e">
        <v>#REF!</v>
      </c>
      <c r="F98" s="163" t="e">
        <v>#REF!</v>
      </c>
      <c r="G98" s="163" t="e">
        <v>#REF!</v>
      </c>
      <c r="H98" s="163" t="e">
        <v>#REF!</v>
      </c>
      <c r="I98" s="163" t="e">
        <v>#REF!</v>
      </c>
      <c r="J98" s="164"/>
      <c r="L98" s="168">
        <f>L97-0.005</f>
        <v>7.9999999999999988E-2</v>
      </c>
      <c r="M98" s="165">
        <v>13.284351904084826</v>
      </c>
      <c r="N98" s="165">
        <v>13.724500754675661</v>
      </c>
      <c r="O98" s="165">
        <v>14.164649605266495</v>
      </c>
      <c r="P98" s="165">
        <v>14.604798455857331</v>
      </c>
      <c r="Q98" s="165">
        <v>15.044947306448167</v>
      </c>
    </row>
    <row r="99" spans="2:17" x14ac:dyDescent="0.25">
      <c r="J99" s="175"/>
    </row>
    <row r="100" spans="2:17" x14ac:dyDescent="0.25">
      <c r="B100" s="176" t="s">
        <v>174</v>
      </c>
      <c r="C100" s="176"/>
      <c r="D100" s="176"/>
      <c r="E100" s="176"/>
      <c r="G100" s="176" t="s">
        <v>175</v>
      </c>
      <c r="H100" s="176"/>
      <c r="I100" s="176"/>
      <c r="J100" s="177"/>
      <c r="K100" s="176"/>
      <c r="L100" s="176"/>
      <c r="M100" s="176"/>
      <c r="N100" s="176"/>
      <c r="O100" s="176"/>
      <c r="P100" s="176"/>
    </row>
    <row r="101" spans="2:17" x14ac:dyDescent="0.25">
      <c r="J101" s="175"/>
    </row>
    <row r="102" spans="2:17" x14ac:dyDescent="0.25">
      <c r="J102" s="175"/>
    </row>
    <row r="103" spans="2:17" x14ac:dyDescent="0.25">
      <c r="J103" s="175"/>
    </row>
    <row r="104" spans="2:17" x14ac:dyDescent="0.25">
      <c r="J104" s="175"/>
    </row>
    <row r="105" spans="2:17" x14ac:dyDescent="0.25">
      <c r="J105" s="175"/>
    </row>
    <row r="106" spans="2:17" x14ac:dyDescent="0.25">
      <c r="J106" s="175"/>
    </row>
    <row r="107" spans="2:17" x14ac:dyDescent="0.25">
      <c r="J107" s="175"/>
    </row>
    <row r="108" spans="2:17" x14ac:dyDescent="0.25">
      <c r="J108" s="175"/>
    </row>
    <row r="109" spans="2:17" x14ac:dyDescent="0.25">
      <c r="J109" s="175"/>
    </row>
    <row r="110" spans="2:17" x14ac:dyDescent="0.25">
      <c r="J110" s="175"/>
    </row>
    <row r="111" spans="2:17" x14ac:dyDescent="0.25">
      <c r="J111" s="175"/>
    </row>
    <row r="112" spans="2:17" x14ac:dyDescent="0.25">
      <c r="J112" s="175"/>
    </row>
    <row r="113" spans="2:17" x14ac:dyDescent="0.25">
      <c r="J113" s="175"/>
    </row>
    <row r="114" spans="2:17" x14ac:dyDescent="0.25">
      <c r="J114" s="175"/>
      <c r="M114" s="178"/>
    </row>
    <row r="115" spans="2:17" x14ac:dyDescent="0.25">
      <c r="J115" s="175"/>
    </row>
    <row r="116" spans="2:17" x14ac:dyDescent="0.25">
      <c r="J116" s="175"/>
    </row>
    <row r="117" spans="2:17" x14ac:dyDescent="0.25">
      <c r="J117" s="175"/>
    </row>
    <row r="118" spans="2:17" x14ac:dyDescent="0.25">
      <c r="J118" s="175"/>
    </row>
    <row r="119" spans="2:17" x14ac:dyDescent="0.25">
      <c r="J119" s="175"/>
    </row>
    <row r="120" spans="2:17" x14ac:dyDescent="0.25">
      <c r="J120" s="175"/>
    </row>
    <row r="121" spans="2:17" x14ac:dyDescent="0.25">
      <c r="B121" s="179"/>
      <c r="C121" s="180" t="s">
        <v>176</v>
      </c>
      <c r="D121" s="180" t="s">
        <v>177</v>
      </c>
      <c r="E121" s="181" t="s">
        <v>178</v>
      </c>
      <c r="G121" s="179"/>
      <c r="H121" s="182"/>
      <c r="I121" s="182"/>
      <c r="J121" s="183"/>
      <c r="K121" s="182"/>
      <c r="L121" s="182"/>
      <c r="M121" s="182"/>
      <c r="N121" s="182"/>
      <c r="O121" s="180" t="s">
        <v>176</v>
      </c>
      <c r="P121" s="180" t="s">
        <v>177</v>
      </c>
      <c r="Q121" s="181" t="s">
        <v>178</v>
      </c>
    </row>
    <row r="122" spans="2:17" x14ac:dyDescent="0.25">
      <c r="B122" s="184" t="str">
        <f>"DCF Value at "&amp;TEXT(E93,"0.0x")&amp;"-"&amp;TEXT(I93,"0.0x")&amp;" Exit EBITDA Range at "&amp;TEXT(D96,"0.0%")&amp;" WACC"</f>
        <v>DCF Value at 11.5x-13.5x Exit EBITDA Range at 9.0% WACC</v>
      </c>
      <c r="C122" s="185" t="e">
        <f>E96</f>
        <v>#REF!</v>
      </c>
      <c r="D122" s="185" t="e">
        <f>E122-C122</f>
        <v>#REF!</v>
      </c>
      <c r="E122" s="186" t="e">
        <f>I96</f>
        <v>#REF!</v>
      </c>
      <c r="G122" s="184" t="str">
        <f>"LTM EBITDA Purchase Multiple at "&amp;TEXT(M84,"0.0%")&amp;"-"&amp;TEXT(Q84,"0.0%")&amp;" Perpetuity Growth at "&amp;TEXT(L87,"0.0%")&amp;" WACC"</f>
        <v>LTM EBITDA Purchase Multiple at 2.0%-4.0% Perpetuity Growth at 9.0% WACC</v>
      </c>
      <c r="J122" s="175"/>
      <c r="O122" s="187">
        <f>M87</f>
        <v>12.158600506522676</v>
      </c>
      <c r="P122" s="187">
        <f>Q122-O122</f>
        <v>3.8793603063571584</v>
      </c>
      <c r="Q122" s="188">
        <f>Q87</f>
        <v>16.037960812879835</v>
      </c>
    </row>
    <row r="123" spans="2:17" x14ac:dyDescent="0.25">
      <c r="B123" s="189" t="str">
        <f>"DCF Value at "&amp;TEXT(E84,"0.0%")&amp;"-"&amp;TEXT(I84,"0.0%")&amp;" Perpetuity Range at "&amp;TEXT(D96,"0.0%")&amp;" WACC"</f>
        <v>DCF Value at 2.0%-4.0% Perpetuity Range at 9.0% WACC</v>
      </c>
      <c r="C123" s="185" t="e">
        <f>E87</f>
        <v>#REF!</v>
      </c>
      <c r="D123" s="185" t="e">
        <f>E123-C123</f>
        <v>#REF!</v>
      </c>
      <c r="E123" s="186" t="e">
        <f>I87</f>
        <v>#REF!</v>
      </c>
      <c r="G123" s="189" t="str">
        <f>"LTM EBITDA Purchase Multiple at "&amp;TEXT(M96,"0.0x")&amp;"-"&amp;TEXT(Q96,"0.0x")&amp;" Exit EBITDA Multiple at "&amp;TEXT(L96,"0.0%")&amp;" WACC"</f>
        <v>LTM EBITDA Purchase Multiple at 12.8x-14.5x Exit EBITDA Multiple at 9.0% WACC</v>
      </c>
      <c r="J123" s="175"/>
      <c r="O123" s="187">
        <f>M96</f>
        <v>12.786963644100345</v>
      </c>
      <c r="P123" s="187">
        <f>Q123-O123</f>
        <v>1.6876401437846678</v>
      </c>
      <c r="Q123" s="188">
        <f>Q96</f>
        <v>14.474603787885012</v>
      </c>
    </row>
    <row r="124" spans="2:17" x14ac:dyDescent="0.25">
      <c r="B124" s="190" t="s">
        <v>179</v>
      </c>
      <c r="C124" s="191">
        <v>169.5</v>
      </c>
      <c r="D124" s="191">
        <f>E124-C124</f>
        <v>158.35000000000002</v>
      </c>
      <c r="E124" s="192">
        <v>327.85</v>
      </c>
      <c r="G124" s="190" t="str">
        <f>"LTM EBITDA Purchase Multiple at "&amp;TEXT(L98,"0.0%")&amp;"-"&amp;TEXT(L94,"0.0%")&amp;" WACC at "&amp;TEXT(O93,"0.0x")&amp;" Exit EBITDA"</f>
        <v>LTM EBITDA Purchase Multiple at 8.0%-10.0% WACC at 12.5x Exit EBITDA</v>
      </c>
      <c r="H124" s="193"/>
      <c r="I124" s="193"/>
      <c r="J124" s="194"/>
      <c r="K124" s="193"/>
      <c r="L124" s="193"/>
      <c r="M124" s="193"/>
      <c r="N124" s="193"/>
      <c r="O124" s="195">
        <f>O94</f>
        <v>13.122776360825991</v>
      </c>
      <c r="P124" s="195">
        <f>Q124-O124</f>
        <v>1.0418732444405041</v>
      </c>
      <c r="Q124" s="196">
        <f>O98</f>
        <v>14.164649605266495</v>
      </c>
    </row>
    <row r="125" spans="2:17" x14ac:dyDescent="0.25">
      <c r="J125" s="175"/>
    </row>
    <row r="126" spans="2:17" x14ac:dyDescent="0.25">
      <c r="J126" s="175"/>
    </row>
  </sheetData>
  <conditionalFormatting sqref="E85:J89 E94:J98">
    <cfRule type="cellIs" dxfId="5" priority="1" operator="lessThan">
      <formula>$C$7</formula>
    </cfRule>
  </conditionalFormatting>
  <dataValidations count="1">
    <dataValidation type="list" allowBlank="1" showInputMessage="1" showErrorMessage="1" sqref="H7" xr:uid="{4880BCEA-27D9-4E39-BB56-0F94F0D94F71}">
      <formula1>"0,1"</formula1>
    </dataValidation>
  </dataValidation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D5449-DB13-4E91-B69E-68B2AD05750A}">
  <sheetPr>
    <tabColor theme="4"/>
    <pageSetUpPr fitToPage="1"/>
  </sheetPr>
  <dimension ref="B1:U203"/>
  <sheetViews>
    <sheetView zoomScaleNormal="100" workbookViewId="0">
      <selection sqref="A1:XFD1048576"/>
    </sheetView>
  </sheetViews>
  <sheetFormatPr defaultColWidth="8.7109375" defaultRowHeight="15" x14ac:dyDescent="0.25"/>
  <cols>
    <col min="1" max="1" width="1.42578125" customWidth="1"/>
    <col min="2" max="2" width="1.7109375" customWidth="1"/>
    <col min="3" max="3" width="46.7109375" bestFit="1" customWidth="1"/>
    <col min="4" max="4" width="12.42578125" bestFit="1" customWidth="1"/>
    <col min="5" max="12" width="11.42578125" customWidth="1"/>
    <col min="13" max="13" width="3.28515625" customWidth="1"/>
    <col min="14" max="14" width="11.7109375" customWidth="1"/>
    <col min="15" max="17" width="10.28515625" bestFit="1" customWidth="1"/>
    <col min="18" max="19" width="9.42578125" bestFit="1" customWidth="1"/>
  </cols>
  <sheetData>
    <row r="1" spans="2:20" ht="15.75" thickBot="1" x14ac:dyDescent="0.3"/>
    <row r="2" spans="2:20" ht="15.75" thickBot="1" x14ac:dyDescent="0.3">
      <c r="C2" s="47" t="str">
        <f>"Financial Statement Model for "&amp;D5</f>
        <v>Financial Statement Model for Apple</v>
      </c>
      <c r="D2" s="48"/>
      <c r="E2" s="48"/>
      <c r="F2" s="48"/>
      <c r="G2" s="48"/>
      <c r="H2" s="48"/>
      <c r="I2" s="48"/>
      <c r="J2" s="48"/>
      <c r="K2" s="48"/>
      <c r="L2" s="48"/>
    </row>
    <row r="3" spans="2:20" x14ac:dyDescent="0.25">
      <c r="B3" s="61"/>
      <c r="C3" s="61" t="str">
        <f>'Financials '!$B$3</f>
        <v xml:space="preserve">$ and shares in millions, except per share data </v>
      </c>
      <c r="D3" s="270"/>
      <c r="E3" s="270"/>
      <c r="F3" s="270"/>
      <c r="G3" s="270"/>
      <c r="H3" s="270"/>
    </row>
    <row r="5" spans="2:20" x14ac:dyDescent="0.25">
      <c r="C5" s="239" t="s">
        <v>229</v>
      </c>
      <c r="D5" s="271" t="s">
        <v>230</v>
      </c>
      <c r="I5" t="s">
        <v>231</v>
      </c>
      <c r="L5" s="272" t="s">
        <v>232</v>
      </c>
    </row>
    <row r="6" spans="2:20" x14ac:dyDescent="0.25">
      <c r="C6" s="239" t="s">
        <v>233</v>
      </c>
      <c r="D6" s="271" t="s">
        <v>234</v>
      </c>
    </row>
    <row r="7" spans="2:20" x14ac:dyDescent="0.25">
      <c r="C7" t="s">
        <v>235</v>
      </c>
      <c r="D7" s="272">
        <v>1</v>
      </c>
    </row>
    <row r="8" spans="2:20" x14ac:dyDescent="0.25">
      <c r="C8" t="s">
        <v>236</v>
      </c>
      <c r="D8" s="273">
        <v>293.64999999999998</v>
      </c>
    </row>
    <row r="9" spans="2:20" x14ac:dyDescent="0.25">
      <c r="C9" t="s">
        <v>237</v>
      </c>
      <c r="D9" s="274">
        <v>43830</v>
      </c>
    </row>
    <row r="10" spans="2:20" x14ac:dyDescent="0.25">
      <c r="C10" s="239" t="s">
        <v>238</v>
      </c>
      <c r="D10" s="275">
        <v>43737</v>
      </c>
    </row>
    <row r="11" spans="2:20" ht="15" customHeight="1" x14ac:dyDescent="0.25">
      <c r="C11" t="s">
        <v>239</v>
      </c>
      <c r="D11" s="276">
        <v>4443.2650000000003</v>
      </c>
    </row>
    <row r="13" spans="2:20" x14ac:dyDescent="0.25">
      <c r="C13" s="230" t="s">
        <v>240</v>
      </c>
      <c r="D13" s="193"/>
      <c r="E13" s="193"/>
      <c r="F13" s="193"/>
      <c r="G13" s="193"/>
      <c r="H13" s="193"/>
      <c r="I13" s="193"/>
      <c r="J13" s="193"/>
      <c r="K13" s="193"/>
      <c r="L13" s="193"/>
    </row>
    <row r="14" spans="2:20" x14ac:dyDescent="0.25">
      <c r="C14" t="s">
        <v>241</v>
      </c>
      <c r="D14" s="277">
        <f>E14-1</f>
        <v>2016</v>
      </c>
      <c r="E14" s="277">
        <f>F14-1</f>
        <v>2017</v>
      </c>
      <c r="F14" s="277">
        <f>G14-1</f>
        <v>2018</v>
      </c>
      <c r="G14" s="277">
        <f>YEAR(D10)</f>
        <v>2019</v>
      </c>
      <c r="H14" s="278">
        <f>G14+1</f>
        <v>2020</v>
      </c>
      <c r="I14" s="278">
        <f>H14+1</f>
        <v>2021</v>
      </c>
      <c r="J14" s="278">
        <f>I14+1</f>
        <v>2022</v>
      </c>
      <c r="K14" s="278">
        <f>J14+1</f>
        <v>2023</v>
      </c>
      <c r="L14" s="278">
        <f>K14+1</f>
        <v>2024</v>
      </c>
    </row>
    <row r="15" spans="2:20" x14ac:dyDescent="0.25">
      <c r="C15" s="279" t="s">
        <v>242</v>
      </c>
      <c r="D15" s="280">
        <f>EOMONTH(E15,-12)</f>
        <v>42643</v>
      </c>
      <c r="E15" s="280">
        <f>EOMONTH(F15,-12)</f>
        <v>43008</v>
      </c>
      <c r="F15" s="280">
        <v>43372</v>
      </c>
      <c r="G15" s="280">
        <f>D10</f>
        <v>43737</v>
      </c>
      <c r="H15" s="280">
        <f>EOMONTH(G15,12)</f>
        <v>44104</v>
      </c>
      <c r="I15" s="280">
        <f>EOMONTH(H15,12)</f>
        <v>44469</v>
      </c>
      <c r="J15" s="280">
        <f>EOMONTH(I15,12)</f>
        <v>44834</v>
      </c>
      <c r="K15" s="280">
        <f>EOMONTH(J15,12)</f>
        <v>45199</v>
      </c>
      <c r="L15" s="280">
        <f>EOMONTH(K15,12)</f>
        <v>45565</v>
      </c>
      <c r="N15" s="13" t="s">
        <v>243</v>
      </c>
      <c r="O15" s="6"/>
      <c r="P15" s="6"/>
      <c r="Q15" s="6"/>
      <c r="R15" s="6"/>
      <c r="S15" s="6"/>
      <c r="T15" s="6"/>
    </row>
    <row r="16" spans="2:20" x14ac:dyDescent="0.25">
      <c r="C16" s="24"/>
      <c r="D16" s="24"/>
      <c r="E16" s="281"/>
      <c r="F16" s="282"/>
      <c r="G16" s="282"/>
      <c r="H16" s="283"/>
      <c r="I16" s="36"/>
      <c r="J16" s="36"/>
      <c r="K16" s="282"/>
      <c r="L16" s="282"/>
    </row>
    <row r="17" spans="3:15" x14ac:dyDescent="0.25">
      <c r="C17" t="s">
        <v>2</v>
      </c>
      <c r="D17" s="97">
        <v>215639</v>
      </c>
      <c r="E17" s="97">
        <v>229234</v>
      </c>
      <c r="F17" s="97">
        <v>265595</v>
      </c>
      <c r="G17" s="97">
        <v>260174</v>
      </c>
      <c r="H17" s="100">
        <f ca="1">G17*(1+H36)</f>
        <v>275784.44</v>
      </c>
      <c r="I17" s="100">
        <f ca="1">H17*(1+I36)</f>
        <v>294813.56636</v>
      </c>
      <c r="J17" s="100">
        <f ca="1">I17*(1+J36)</f>
        <v>315155.70243884</v>
      </c>
      <c r="K17" s="100">
        <f ca="1">J17*(1+K36)</f>
        <v>336901.44590711995</v>
      </c>
      <c r="L17" s="100">
        <f ca="1">K17*(1+L36)</f>
        <v>360147.64567471121</v>
      </c>
      <c r="N17" t="s">
        <v>244</v>
      </c>
    </row>
    <row r="18" spans="3:15" x14ac:dyDescent="0.25">
      <c r="C18" t="s">
        <v>245</v>
      </c>
      <c r="D18" s="97">
        <v>-131376</v>
      </c>
      <c r="E18" s="97">
        <v>-141048</v>
      </c>
      <c r="F18" s="97">
        <v>-163756</v>
      </c>
      <c r="G18" s="97">
        <v>-161782</v>
      </c>
      <c r="H18" s="100">
        <f ca="1">H19-H17</f>
        <v>-171537.92168</v>
      </c>
      <c r="I18" s="100">
        <f ca="1">I19-I17</f>
        <v>-183374.03827592</v>
      </c>
      <c r="J18" s="100">
        <f ca="1">J19-J17</f>
        <v>-196026.84691695849</v>
      </c>
      <c r="K18" s="100">
        <f ca="1">K19-K17</f>
        <v>-209552.69935422862</v>
      </c>
      <c r="L18" s="100">
        <f ca="1">L19-L17</f>
        <v>-224011.83560967038</v>
      </c>
      <c r="N18" t="s">
        <v>246</v>
      </c>
    </row>
    <row r="19" spans="3:15" x14ac:dyDescent="0.25">
      <c r="C19" s="11" t="s">
        <v>4</v>
      </c>
      <c r="D19" s="284">
        <f>SUM(D17:D18)</f>
        <v>84263</v>
      </c>
      <c r="E19" s="284">
        <f>SUM(E17:E18)</f>
        <v>88186</v>
      </c>
      <c r="F19" s="284">
        <f>SUM(F17:F18)</f>
        <v>101839</v>
      </c>
      <c r="G19" s="284">
        <f>SUM(G17:G18)</f>
        <v>98392</v>
      </c>
      <c r="H19" s="284">
        <f ca="1">H17*H37</f>
        <v>104246.51832</v>
      </c>
      <c r="I19" s="284">
        <f ca="1">I17*I37</f>
        <v>111439.52808408</v>
      </c>
      <c r="J19" s="284">
        <f ca="1">J17*J37</f>
        <v>119128.85552188152</v>
      </c>
      <c r="K19" s="284">
        <f ca="1">K17*K37</f>
        <v>127348.74655289135</v>
      </c>
      <c r="L19" s="284">
        <f ca="1">L17*L37</f>
        <v>136135.81006504083</v>
      </c>
      <c r="N19" s="285" t="s">
        <v>247</v>
      </c>
    </row>
    <row r="20" spans="3:15" x14ac:dyDescent="0.25">
      <c r="C20" t="s">
        <v>248</v>
      </c>
      <c r="D20" s="97">
        <v>-10045</v>
      </c>
      <c r="E20" s="97">
        <v>-11581</v>
      </c>
      <c r="F20" s="97">
        <v>-14236</v>
      </c>
      <c r="G20" s="97">
        <v>-16217</v>
      </c>
      <c r="H20" s="100">
        <f ca="1">-H38*H17</f>
        <v>-17098.635279999999</v>
      </c>
      <c r="I20" s="100">
        <f ca="1">-I38*I17</f>
        <v>-18278.441114320001</v>
      </c>
      <c r="J20" s="100">
        <f ca="1">-J38*J17</f>
        <v>-19539.653551208081</v>
      </c>
      <c r="K20" s="100">
        <f ca="1">-K38*K17</f>
        <v>-20887.889646241438</v>
      </c>
      <c r="L20" s="100">
        <f ca="1">-L38*L17</f>
        <v>-22329.154031832095</v>
      </c>
      <c r="N20" s="285" t="s">
        <v>249</v>
      </c>
    </row>
    <row r="21" spans="3:15" x14ac:dyDescent="0.25">
      <c r="C21" t="s">
        <v>250</v>
      </c>
      <c r="D21" s="97">
        <v>-14194</v>
      </c>
      <c r="E21" s="97">
        <v>-15261</v>
      </c>
      <c r="F21" s="97">
        <v>-16705</v>
      </c>
      <c r="G21" s="97">
        <v>-18245</v>
      </c>
      <c r="H21" s="100">
        <f ca="1">-H17*H39</f>
        <v>-19304.910800000001</v>
      </c>
      <c r="I21" s="100">
        <f ca="1">-I17*I39</f>
        <v>-20636.949645200002</v>
      </c>
      <c r="J21" s="100">
        <f ca="1">-J17*J39</f>
        <v>-22060.899170718803</v>
      </c>
      <c r="K21" s="100">
        <f ca="1">-K17*K39</f>
        <v>-23583.101213498398</v>
      </c>
      <c r="L21" s="100">
        <f ca="1">-L17*L39</f>
        <v>-25210.335197229786</v>
      </c>
      <c r="N21" s="285" t="s">
        <v>251</v>
      </c>
    </row>
    <row r="22" spans="3:15" x14ac:dyDescent="0.25">
      <c r="C22" s="11" t="s">
        <v>252</v>
      </c>
      <c r="D22" s="284">
        <f t="shared" ref="D22" si="0">D19+D20+D21</f>
        <v>60024</v>
      </c>
      <c r="E22" s="284">
        <f>E19+E20+E21</f>
        <v>61344</v>
      </c>
      <c r="F22" s="284">
        <f>F19+F20+F21</f>
        <v>70898</v>
      </c>
      <c r="G22" s="284">
        <f>G19+G20+G21</f>
        <v>63930</v>
      </c>
      <c r="H22" s="284">
        <f t="shared" ref="H22:L22" ca="1" si="1">H19+H20+H21</f>
        <v>67842.972240000003</v>
      </c>
      <c r="I22" s="284">
        <f ca="1">I19+I20+I21</f>
        <v>72524.137324559997</v>
      </c>
      <c r="J22" s="284">
        <f t="shared" ca="1" si="1"/>
        <v>77528.302799954632</v>
      </c>
      <c r="K22" s="284">
        <f t="shared" ca="1" si="1"/>
        <v>82877.755693151499</v>
      </c>
      <c r="L22" s="284">
        <f t="shared" ca="1" si="1"/>
        <v>88596.320835978957</v>
      </c>
      <c r="N22" s="11" t="s">
        <v>253</v>
      </c>
    </row>
    <row r="23" spans="3:15" x14ac:dyDescent="0.25">
      <c r="C23" t="s">
        <v>254</v>
      </c>
      <c r="D23" s="97">
        <v>3999</v>
      </c>
      <c r="E23" s="97">
        <v>5201</v>
      </c>
      <c r="F23" s="97">
        <v>5686</v>
      </c>
      <c r="G23" s="97">
        <v>4961</v>
      </c>
      <c r="H23" s="56">
        <f ca="1">H156</f>
        <v>4386.8465720646718</v>
      </c>
      <c r="I23" s="56">
        <f t="shared" ref="I23:L23" ca="1" si="2">I156</f>
        <v>4119.4834223149901</v>
      </c>
      <c r="J23" s="56">
        <f t="shared" ca="1" si="2"/>
        <v>3871.0561664626944</v>
      </c>
      <c r="K23" s="56">
        <f t="shared" ca="1" si="2"/>
        <v>3709.7511405767555</v>
      </c>
      <c r="L23" s="56">
        <f t="shared" ca="1" si="2"/>
        <v>3643.4636987454537</v>
      </c>
      <c r="N23" t="s">
        <v>255</v>
      </c>
    </row>
    <row r="24" spans="3:15" x14ac:dyDescent="0.25">
      <c r="C24" t="s">
        <v>256</v>
      </c>
      <c r="D24" s="97">
        <v>-1456</v>
      </c>
      <c r="E24" s="97">
        <v>-2323</v>
      </c>
      <c r="F24" s="97">
        <v>-3240</v>
      </c>
      <c r="G24" s="97">
        <v>-3576</v>
      </c>
      <c r="H24" s="56">
        <f ca="1">-H142</f>
        <v>-3568.9466179543074</v>
      </c>
      <c r="I24" s="56">
        <f t="shared" ref="I24:L24" ca="1" si="3">-I142</f>
        <v>-3636.3706179543074</v>
      </c>
      <c r="J24" s="56">
        <f t="shared" ca="1" si="3"/>
        <v>-3636.3706179543074</v>
      </c>
      <c r="K24" s="56">
        <f t="shared" ca="1" si="3"/>
        <v>-3636.3706179543074</v>
      </c>
      <c r="L24" s="56">
        <f t="shared" ca="1" si="3"/>
        <v>-3636.3706179543074</v>
      </c>
      <c r="N24" t="s">
        <v>257</v>
      </c>
    </row>
    <row r="25" spans="3:15" x14ac:dyDescent="0.25">
      <c r="C25" t="s">
        <v>258</v>
      </c>
      <c r="D25" s="97">
        <v>-1195</v>
      </c>
      <c r="E25" s="97">
        <v>-133</v>
      </c>
      <c r="F25" s="97">
        <v>-441</v>
      </c>
      <c r="G25" s="97">
        <v>422</v>
      </c>
      <c r="H25" s="56">
        <f>G25</f>
        <v>422</v>
      </c>
      <c r="I25" s="56">
        <f>H25</f>
        <v>422</v>
      </c>
      <c r="J25" s="56">
        <f>I25</f>
        <v>422</v>
      </c>
      <c r="K25" s="56">
        <f>J25</f>
        <v>422</v>
      </c>
      <c r="L25" s="56">
        <f>K25</f>
        <v>422</v>
      </c>
      <c r="N25" t="s">
        <v>259</v>
      </c>
    </row>
    <row r="26" spans="3:15" x14ac:dyDescent="0.25">
      <c r="C26" s="11" t="s">
        <v>260</v>
      </c>
      <c r="D26" s="284">
        <f t="shared" ref="D26" si="4">SUM(D22:D25)</f>
        <v>61372</v>
      </c>
      <c r="E26" s="284">
        <f>SUM(E22:E25)</f>
        <v>64089</v>
      </c>
      <c r="F26" s="284">
        <f>SUM(F22:F25)</f>
        <v>72903</v>
      </c>
      <c r="G26" s="284">
        <f>SUM(G22:G25)</f>
        <v>65737</v>
      </c>
      <c r="H26" s="284">
        <f ca="1">SUM(H22:H25)</f>
        <v>69082.872194110372</v>
      </c>
      <c r="I26" s="284">
        <f ca="1">SUM(I22:I25)</f>
        <v>73429.250128920685</v>
      </c>
      <c r="J26" s="284">
        <f t="shared" ref="J26:L26" ca="1" si="5">SUM(J22:J25)</f>
        <v>78184.988348463012</v>
      </c>
      <c r="K26" s="284">
        <f t="shared" ca="1" si="5"/>
        <v>83373.13621577395</v>
      </c>
      <c r="L26" s="284">
        <f t="shared" ca="1" si="5"/>
        <v>89025.413916770107</v>
      </c>
      <c r="N26" s="11" t="s">
        <v>261</v>
      </c>
      <c r="O26" s="11"/>
    </row>
    <row r="27" spans="3:15" x14ac:dyDescent="0.25">
      <c r="C27" t="s">
        <v>262</v>
      </c>
      <c r="D27" s="97">
        <v>-15685</v>
      </c>
      <c r="E27" s="97">
        <v>-15738</v>
      </c>
      <c r="F27" s="97">
        <v>-13372</v>
      </c>
      <c r="G27" s="97">
        <v>-10481</v>
      </c>
      <c r="H27" s="100">
        <f ca="1">-H40*H26</f>
        <v>-11014.460402307237</v>
      </c>
      <c r="I27" s="100">
        <f ca="1">-I40*I26</f>
        <v>-11707.439807128676</v>
      </c>
      <c r="J27" s="100">
        <f ca="1">-J40*J26</f>
        <v>-12465.686947689139</v>
      </c>
      <c r="K27" s="100">
        <f ca="1">-K40*K26</f>
        <v>-13292.876776815596</v>
      </c>
      <c r="L27" s="100">
        <f ca="1">-L40*L26</f>
        <v>-14194.066709184593</v>
      </c>
      <c r="N27" t="s">
        <v>263</v>
      </c>
    </row>
    <row r="28" spans="3:15" x14ac:dyDescent="0.25">
      <c r="C28" s="11" t="s">
        <v>264</v>
      </c>
      <c r="D28" s="284">
        <f t="shared" ref="D28:L28" si="6">SUM(D26:D27)</f>
        <v>45687</v>
      </c>
      <c r="E28" s="284">
        <f t="shared" si="6"/>
        <v>48351</v>
      </c>
      <c r="F28" s="284">
        <f t="shared" si="6"/>
        <v>59531</v>
      </c>
      <c r="G28" s="284">
        <f t="shared" si="6"/>
        <v>55256</v>
      </c>
      <c r="H28" s="284">
        <f t="shared" ca="1" si="6"/>
        <v>58068.411791803133</v>
      </c>
      <c r="I28" s="284">
        <f t="shared" ca="1" si="6"/>
        <v>61721.810321792007</v>
      </c>
      <c r="J28" s="284">
        <f t="shared" ca="1" si="6"/>
        <v>65719.301400773867</v>
      </c>
      <c r="K28" s="284">
        <f t="shared" ca="1" si="6"/>
        <v>70080.259438958354</v>
      </c>
      <c r="L28" s="284">
        <f t="shared" ca="1" si="6"/>
        <v>74831.34720758551</v>
      </c>
      <c r="N28" s="11" t="s">
        <v>265</v>
      </c>
    </row>
    <row r="29" spans="3:15" x14ac:dyDescent="0.25">
      <c r="C29" s="54"/>
      <c r="D29" s="56"/>
      <c r="E29" s="56"/>
      <c r="F29" s="56"/>
      <c r="G29" s="56"/>
      <c r="H29" s="56"/>
      <c r="I29" s="56"/>
      <c r="J29" s="56"/>
      <c r="K29" s="56"/>
      <c r="L29" s="56"/>
    </row>
    <row r="30" spans="3:15" x14ac:dyDescent="0.25">
      <c r="C30" s="122" t="s">
        <v>105</v>
      </c>
      <c r="D30" s="97">
        <v>10505</v>
      </c>
      <c r="E30" s="97">
        <v>10157</v>
      </c>
      <c r="F30" s="97">
        <v>10903</v>
      </c>
      <c r="G30" s="97">
        <v>12547</v>
      </c>
      <c r="H30" s="56">
        <f ca="1">H106</f>
        <v>11808.331069482967</v>
      </c>
      <c r="I30" s="56">
        <f ca="1">I106</f>
        <v>12418.253260687266</v>
      </c>
      <c r="J30" s="56">
        <f ca="1">J106</f>
        <v>13558.159134874686</v>
      </c>
      <c r="K30" s="56">
        <f ca="1">K106</f>
        <v>14796.248715925842</v>
      </c>
      <c r="L30" s="56">
        <f ca="1">L106</f>
        <v>16140.644263520915</v>
      </c>
      <c r="N30" t="s">
        <v>266</v>
      </c>
    </row>
    <row r="31" spans="3:15" x14ac:dyDescent="0.25">
      <c r="C31" s="132" t="s">
        <v>98</v>
      </c>
      <c r="D31" s="284">
        <f t="shared" ref="D31" si="7">D22+D30</f>
        <v>70529</v>
      </c>
      <c r="E31" s="284">
        <f>E22+E30</f>
        <v>71501</v>
      </c>
      <c r="F31" s="284">
        <f>F22+F30</f>
        <v>81801</v>
      </c>
      <c r="G31" s="284">
        <f>G22+G30</f>
        <v>76477</v>
      </c>
      <c r="H31" s="284">
        <f t="shared" ref="H31:L31" ca="1" si="8">H22+H30</f>
        <v>79651.303309482973</v>
      </c>
      <c r="I31" s="284">
        <f t="shared" ca="1" si="8"/>
        <v>84942.390585247267</v>
      </c>
      <c r="J31" s="284">
        <f t="shared" ca="1" si="8"/>
        <v>91086.46193482932</v>
      </c>
      <c r="K31" s="284">
        <f t="shared" ca="1" si="8"/>
        <v>97674.004409077344</v>
      </c>
      <c r="L31" s="284">
        <f t="shared" ca="1" si="8"/>
        <v>104736.96509949987</v>
      </c>
      <c r="N31" s="11" t="s">
        <v>267</v>
      </c>
    </row>
    <row r="32" spans="3:15" x14ac:dyDescent="0.25">
      <c r="C32" s="122" t="s">
        <v>268</v>
      </c>
      <c r="D32" s="97">
        <v>4210</v>
      </c>
      <c r="E32" s="97">
        <v>4840</v>
      </c>
      <c r="F32" s="97">
        <v>5340</v>
      </c>
      <c r="G32" s="97">
        <v>6068</v>
      </c>
      <c r="H32" s="56">
        <f ca="1">G32*(1+H36)</f>
        <v>6432.08</v>
      </c>
      <c r="I32" s="56">
        <f ca="1">H32*(1+I36)</f>
        <v>6875.8935199999996</v>
      </c>
      <c r="J32" s="56">
        <f ca="1">I32*(1+J36)</f>
        <v>7350.3301728799988</v>
      </c>
      <c r="K32" s="56">
        <f ca="1">J32*(1+K36)</f>
        <v>7857.5029548087186</v>
      </c>
      <c r="L32" s="56">
        <f ca="1">K32*(1+L36)</f>
        <v>8399.6706586905202</v>
      </c>
      <c r="N32" t="s">
        <v>269</v>
      </c>
    </row>
    <row r="33" spans="3:21" x14ac:dyDescent="0.25">
      <c r="C33" s="132" t="s">
        <v>13</v>
      </c>
      <c r="D33" s="284">
        <f t="shared" ref="D33" si="9">SUM(D31:D32)</f>
        <v>74739</v>
      </c>
      <c r="E33" s="284">
        <f>SUM(E31:E32)</f>
        <v>76341</v>
      </c>
      <c r="F33" s="284">
        <f>SUM(F31:F32)</f>
        <v>87141</v>
      </c>
      <c r="G33" s="284">
        <f>SUM(G31:G32)</f>
        <v>82545</v>
      </c>
      <c r="H33" s="284">
        <f t="shared" ref="H33:L33" ca="1" si="10">SUM(H31:H32)</f>
        <v>86083.383309482975</v>
      </c>
      <c r="I33" s="284">
        <f t="shared" ca="1" si="10"/>
        <v>91818.284105247265</v>
      </c>
      <c r="J33" s="284">
        <f t="shared" ca="1" si="10"/>
        <v>98436.79210770932</v>
      </c>
      <c r="K33" s="284">
        <f t="shared" ca="1" si="10"/>
        <v>105531.50736388606</v>
      </c>
      <c r="L33" s="284">
        <f t="shared" ca="1" si="10"/>
        <v>113136.63575819039</v>
      </c>
      <c r="N33" s="11" t="s">
        <v>270</v>
      </c>
    </row>
    <row r="34" spans="3:21" x14ac:dyDescent="0.25">
      <c r="C34" s="54"/>
      <c r="H34" s="286"/>
    </row>
    <row r="35" spans="3:21" x14ac:dyDescent="0.25">
      <c r="C35" s="30" t="s">
        <v>271</v>
      </c>
    </row>
    <row r="36" spans="3:21" x14ac:dyDescent="0.25">
      <c r="C36" s="54" t="s">
        <v>272</v>
      </c>
      <c r="D36" s="287"/>
      <c r="E36" s="287">
        <f>E17/D17-1</f>
        <v>6.304518199398057E-2</v>
      </c>
      <c r="F36" s="287">
        <f>F17/E17-1</f>
        <v>0.15861957650261305</v>
      </c>
      <c r="G36" s="287">
        <f>G17/F17-1</f>
        <v>-2.04107758052674E-2</v>
      </c>
      <c r="H36" s="287">
        <f ca="1">H183</f>
        <v>0.06</v>
      </c>
      <c r="I36" s="287">
        <f t="shared" ref="I36:L36" ca="1" si="11">I183</f>
        <v>6.9000000000000006E-2</v>
      </c>
      <c r="J36" s="287">
        <f t="shared" ca="1" si="11"/>
        <v>6.9000000000000006E-2</v>
      </c>
      <c r="K36" s="287">
        <f t="shared" ca="1" si="11"/>
        <v>6.9000000000000006E-2</v>
      </c>
      <c r="L36" s="287">
        <f t="shared" ca="1" si="11"/>
        <v>6.9000000000000006E-2</v>
      </c>
      <c r="N36" t="s">
        <v>273</v>
      </c>
      <c r="P36" s="57"/>
      <c r="Q36" s="57"/>
      <c r="R36" s="57"/>
      <c r="S36" s="57"/>
      <c r="T36" s="57"/>
      <c r="U36" s="57"/>
    </row>
    <row r="37" spans="3:21" x14ac:dyDescent="0.25">
      <c r="C37" s="54" t="s">
        <v>274</v>
      </c>
      <c r="D37" s="287">
        <f>D19/D17</f>
        <v>0.39075955648097049</v>
      </c>
      <c r="E37" s="287">
        <f>E19/E17</f>
        <v>0.38469860491899105</v>
      </c>
      <c r="F37" s="287">
        <f>F19/F17</f>
        <v>0.38343718820007905</v>
      </c>
      <c r="G37" s="287">
        <f>G19/G17</f>
        <v>0.37817768109034722</v>
      </c>
      <c r="H37" s="287">
        <f t="shared" ref="H37:L39" ca="1" si="12">H184</f>
        <v>0.378</v>
      </c>
      <c r="I37" s="287">
        <f t="shared" ca="1" si="12"/>
        <v>0.378</v>
      </c>
      <c r="J37" s="287">
        <f t="shared" ca="1" si="12"/>
        <v>0.378</v>
      </c>
      <c r="K37" s="287">
        <f t="shared" ca="1" si="12"/>
        <v>0.378</v>
      </c>
      <c r="L37" s="287">
        <f t="shared" ca="1" si="12"/>
        <v>0.378</v>
      </c>
      <c r="N37" t="s">
        <v>275</v>
      </c>
      <c r="P37" s="57"/>
      <c r="Q37" s="57"/>
      <c r="R37" s="57"/>
      <c r="S37" s="57"/>
      <c r="T37" s="57"/>
      <c r="U37" s="57"/>
    </row>
    <row r="38" spans="3:21" x14ac:dyDescent="0.25">
      <c r="C38" s="54" t="s">
        <v>276</v>
      </c>
      <c r="D38" s="287">
        <f>-D20/D17</f>
        <v>4.6582482760539605E-2</v>
      </c>
      <c r="E38" s="287">
        <f>-E20/E17</f>
        <v>5.0520428906706681E-2</v>
      </c>
      <c r="F38" s="287">
        <f>-F20/F17</f>
        <v>5.3600406634161032E-2</v>
      </c>
      <c r="G38" s="287">
        <f>-G20/G17</f>
        <v>6.233136285716482E-2</v>
      </c>
      <c r="H38" s="287">
        <f t="shared" ca="1" si="12"/>
        <v>6.2E-2</v>
      </c>
      <c r="I38" s="287">
        <f t="shared" ca="1" si="12"/>
        <v>6.2E-2</v>
      </c>
      <c r="J38" s="287">
        <f t="shared" ca="1" si="12"/>
        <v>6.2E-2</v>
      </c>
      <c r="K38" s="287">
        <f t="shared" ca="1" si="12"/>
        <v>6.2E-2</v>
      </c>
      <c r="L38" s="287">
        <f t="shared" ca="1" si="12"/>
        <v>6.2E-2</v>
      </c>
      <c r="N38" t="s">
        <v>275</v>
      </c>
      <c r="P38" s="57"/>
      <c r="Q38" s="57"/>
      <c r="R38" s="57"/>
      <c r="S38" s="57"/>
      <c r="T38" s="57"/>
      <c r="U38" s="57"/>
    </row>
    <row r="39" spans="3:21" x14ac:dyDescent="0.25">
      <c r="C39" s="54" t="s">
        <v>277</v>
      </c>
      <c r="D39" s="287">
        <f>-D21/D17</f>
        <v>6.5822972653369755E-2</v>
      </c>
      <c r="E39" s="287">
        <f>-E21/E17</f>
        <v>6.6573893924984945E-2</v>
      </c>
      <c r="F39" s="287">
        <f>-F21/F17</f>
        <v>6.2896515371147807E-2</v>
      </c>
      <c r="G39" s="287">
        <f>-G21/G17</f>
        <v>7.0126146348213125E-2</v>
      </c>
      <c r="H39" s="287">
        <f t="shared" ca="1" si="12"/>
        <v>7.0000000000000007E-2</v>
      </c>
      <c r="I39" s="287">
        <f t="shared" ca="1" si="12"/>
        <v>7.0000000000000007E-2</v>
      </c>
      <c r="J39" s="287">
        <f t="shared" ca="1" si="12"/>
        <v>7.0000000000000007E-2</v>
      </c>
      <c r="K39" s="287">
        <f t="shared" ca="1" si="12"/>
        <v>7.0000000000000007E-2</v>
      </c>
      <c r="L39" s="287">
        <f t="shared" ca="1" si="12"/>
        <v>7.0000000000000007E-2</v>
      </c>
      <c r="N39" t="s">
        <v>275</v>
      </c>
      <c r="P39" s="57"/>
      <c r="Q39" s="57"/>
      <c r="R39" s="57"/>
      <c r="S39" s="57"/>
      <c r="T39" s="57"/>
      <c r="U39" s="57"/>
    </row>
    <row r="40" spans="3:21" x14ac:dyDescent="0.25">
      <c r="C40" s="54" t="s">
        <v>79</v>
      </c>
      <c r="D40" s="287">
        <f>-(D27/D26)</f>
        <v>0.25557257381216192</v>
      </c>
      <c r="E40" s="287">
        <f>-(E27/E26)</f>
        <v>0.24556476150353415</v>
      </c>
      <c r="F40" s="287">
        <f>-(F27/F26)</f>
        <v>0.18342180705869443</v>
      </c>
      <c r="G40" s="287">
        <f>-(G27/G26)</f>
        <v>0.15943836804235059</v>
      </c>
      <c r="H40" s="57">
        <f>G40</f>
        <v>0.15943836804235059</v>
      </c>
      <c r="I40" s="57">
        <f t="shared" ref="I40:L40" si="13">H40</f>
        <v>0.15943836804235059</v>
      </c>
      <c r="J40" s="57">
        <f t="shared" si="13"/>
        <v>0.15943836804235059</v>
      </c>
      <c r="K40" s="57">
        <f t="shared" si="13"/>
        <v>0.15943836804235059</v>
      </c>
      <c r="L40" s="57">
        <f t="shared" si="13"/>
        <v>0.15943836804235059</v>
      </c>
      <c r="N40" t="s">
        <v>275</v>
      </c>
      <c r="P40" s="57"/>
      <c r="Q40" s="57"/>
      <c r="R40" s="57"/>
      <c r="S40" s="57"/>
      <c r="T40" s="57"/>
      <c r="U40" s="57"/>
    </row>
    <row r="41" spans="3:21" x14ac:dyDescent="0.25">
      <c r="C41" s="54"/>
      <c r="D41" s="54"/>
      <c r="H41" s="286"/>
    </row>
    <row r="42" spans="3:21" x14ac:dyDescent="0.25">
      <c r="C42" s="230" t="s">
        <v>278</v>
      </c>
      <c r="D42" s="230"/>
      <c r="E42" s="288"/>
      <c r="F42" s="288"/>
      <c r="G42" s="288"/>
      <c r="H42" s="193"/>
      <c r="I42" s="193"/>
      <c r="J42" s="193"/>
      <c r="K42" s="193"/>
      <c r="L42" s="193"/>
    </row>
    <row r="43" spans="3:21" x14ac:dyDescent="0.25">
      <c r="C43" s="289" t="str">
        <f>C14</f>
        <v xml:space="preserve">Fiscal year  </v>
      </c>
      <c r="D43" s="289"/>
      <c r="E43" s="290">
        <f t="shared" ref="E43:L44" si="14">E14</f>
        <v>2017</v>
      </c>
      <c r="F43" s="290">
        <f t="shared" si="14"/>
        <v>2018</v>
      </c>
      <c r="G43" s="290">
        <f t="shared" si="14"/>
        <v>2019</v>
      </c>
      <c r="H43" s="291">
        <f t="shared" si="14"/>
        <v>2020</v>
      </c>
      <c r="I43" s="291">
        <f t="shared" si="14"/>
        <v>2021</v>
      </c>
      <c r="J43" s="291">
        <f t="shared" si="14"/>
        <v>2022</v>
      </c>
      <c r="K43" s="291">
        <f t="shared" si="14"/>
        <v>2023</v>
      </c>
      <c r="L43" s="291">
        <f t="shared" si="14"/>
        <v>2024</v>
      </c>
    </row>
    <row r="44" spans="3:21" x14ac:dyDescent="0.25">
      <c r="C44" s="193" t="str">
        <f>C15</f>
        <v>Fiscal year end date</v>
      </c>
      <c r="D44" s="193"/>
      <c r="E44" s="292">
        <f t="shared" si="14"/>
        <v>43008</v>
      </c>
      <c r="F44" s="292">
        <f t="shared" si="14"/>
        <v>43372</v>
      </c>
      <c r="G44" s="292">
        <f t="shared" si="14"/>
        <v>43737</v>
      </c>
      <c r="H44" s="292">
        <f t="shared" si="14"/>
        <v>44104</v>
      </c>
      <c r="I44" s="292">
        <f t="shared" si="14"/>
        <v>44469</v>
      </c>
      <c r="J44" s="292">
        <f t="shared" si="14"/>
        <v>44834</v>
      </c>
      <c r="K44" s="292">
        <f t="shared" si="14"/>
        <v>45199</v>
      </c>
      <c r="L44" s="292">
        <f t="shared" si="14"/>
        <v>45565</v>
      </c>
    </row>
    <row r="45" spans="3:21" x14ac:dyDescent="0.25">
      <c r="C45" t="s">
        <v>279</v>
      </c>
      <c r="E45" s="97">
        <f>20289+53892+194714</f>
        <v>268895</v>
      </c>
      <c r="F45" s="97">
        <f>25913+40388+170799</f>
        <v>237100</v>
      </c>
      <c r="G45" s="97">
        <f>48844+51713+105341</f>
        <v>205898</v>
      </c>
      <c r="H45" s="56">
        <f ca="1">H90+G45</f>
        <v>194727.25772280112</v>
      </c>
      <c r="I45" s="56">
        <f ca="1">I90+H45</f>
        <v>181481.27399546286</v>
      </c>
      <c r="J45" s="56">
        <f ca="1">J90+I45</f>
        <v>172039.83709702062</v>
      </c>
      <c r="K45" s="56">
        <f ca="1">K90+J45</f>
        <v>166750.2214031397</v>
      </c>
      <c r="L45" s="56">
        <f ca="1">L90+K45</f>
        <v>165986.189441194</v>
      </c>
      <c r="N45" t="s">
        <v>280</v>
      </c>
    </row>
    <row r="46" spans="3:21" x14ac:dyDescent="0.25">
      <c r="C46" t="s">
        <v>281</v>
      </c>
      <c r="E46" s="97">
        <v>17874</v>
      </c>
      <c r="F46" s="97">
        <v>23186</v>
      </c>
      <c r="G46" s="97">
        <v>22926</v>
      </c>
      <c r="H46" s="56">
        <f ca="1">G46*(1+H36)</f>
        <v>24301.56</v>
      </c>
      <c r="I46" s="56">
        <f ca="1">H46*(1+I36)</f>
        <v>25978.36764</v>
      </c>
      <c r="J46" s="56">
        <f ca="1">I46*(1+J36)</f>
        <v>27770.875007160001</v>
      </c>
      <c r="K46" s="56">
        <f ca="1">J46*(1+K36)</f>
        <v>29687.06538265404</v>
      </c>
      <c r="L46" s="56">
        <f ca="1">K46*(1+L36)</f>
        <v>31735.472894057166</v>
      </c>
      <c r="N46" t="s">
        <v>282</v>
      </c>
    </row>
    <row r="47" spans="3:21" x14ac:dyDescent="0.25">
      <c r="C47" t="s">
        <v>283</v>
      </c>
      <c r="E47" s="97">
        <v>4855</v>
      </c>
      <c r="F47" s="97">
        <v>3956</v>
      </c>
      <c r="G47" s="97">
        <v>4106</v>
      </c>
      <c r="H47" s="56">
        <f ca="1">G47*H18/G18</f>
        <v>4353.6036544119861</v>
      </c>
      <c r="I47" s="56">
        <f ca="1">H47*I18/H18</f>
        <v>4654.0023065664127</v>
      </c>
      <c r="J47" s="56">
        <f ca="1">I47*J18/I18</f>
        <v>4975.1284657194956</v>
      </c>
      <c r="K47" s="56">
        <f ca="1">J47*K18/J18</f>
        <v>5318.4123298541408</v>
      </c>
      <c r="L47" s="56">
        <f ca="1">K47*L18/K18</f>
        <v>5685.3827806140762</v>
      </c>
      <c r="N47" t="s">
        <v>284</v>
      </c>
    </row>
    <row r="48" spans="3:21" x14ac:dyDescent="0.25">
      <c r="C48" t="s">
        <v>285</v>
      </c>
      <c r="E48" s="97">
        <f>17799+13936</f>
        <v>31735</v>
      </c>
      <c r="F48" s="97">
        <f>25809+12087</f>
        <v>37896</v>
      </c>
      <c r="G48" s="97">
        <f>12352+22878</f>
        <v>35230</v>
      </c>
      <c r="H48" s="56">
        <f ca="1">G48*(1+H36)</f>
        <v>37343.800000000003</v>
      </c>
      <c r="I48" s="56">
        <f ca="1">H48*(1+I36)</f>
        <v>39920.522199999999</v>
      </c>
      <c r="J48" s="56">
        <f ca="1">I48*(1+J36)</f>
        <v>42675.038231799997</v>
      </c>
      <c r="K48" s="56">
        <f ca="1">J48*(1+K36)</f>
        <v>45619.615869794194</v>
      </c>
      <c r="L48" s="56">
        <f ca="1">K48*(1+L36)</f>
        <v>48767.369364809994</v>
      </c>
      <c r="N48" t="s">
        <v>282</v>
      </c>
      <c r="O48" s="56"/>
    </row>
    <row r="49" spans="3:15" x14ac:dyDescent="0.25">
      <c r="C49" t="s">
        <v>286</v>
      </c>
      <c r="E49" s="97">
        <v>33783</v>
      </c>
      <c r="F49" s="97">
        <v>41304</v>
      </c>
      <c r="G49" s="97">
        <v>37378</v>
      </c>
      <c r="H49" s="56">
        <f>H99</f>
        <v>39817.318930517038</v>
      </c>
      <c r="I49" s="56">
        <f t="shared" ref="I49:L49" si="15">I99</f>
        <v>42050.931249829766</v>
      </c>
      <c r="J49" s="56">
        <f t="shared" ca="1" si="15"/>
        <v>44155.616419975078</v>
      </c>
      <c r="K49" s="56">
        <f t="shared" ca="1" si="15"/>
        <v>46102.948266115614</v>
      </c>
      <c r="L49" s="56">
        <f t="shared" ca="1" si="15"/>
        <v>47861.191623443658</v>
      </c>
      <c r="N49" t="s">
        <v>287</v>
      </c>
    </row>
    <row r="50" spans="3:15" x14ac:dyDescent="0.25">
      <c r="C50" t="s">
        <v>288</v>
      </c>
      <c r="E50" s="97">
        <v>18177</v>
      </c>
      <c r="F50" s="97">
        <v>22283</v>
      </c>
      <c r="G50" s="97">
        <v>32978</v>
      </c>
      <c r="H50" s="56">
        <f ca="1">G50*(1+H36)</f>
        <v>34956.68</v>
      </c>
      <c r="I50" s="56">
        <f ca="1">H50*(1+I36)</f>
        <v>37368.690920000001</v>
      </c>
      <c r="J50" s="56">
        <f ca="1">I50*(1+J36)</f>
        <v>39947.130593479997</v>
      </c>
      <c r="K50" s="56">
        <f ca="1">J50*(1+K36)</f>
        <v>42703.482604430115</v>
      </c>
      <c r="L50" s="56">
        <f ca="1">K50*(1+L36)</f>
        <v>45650.022904135789</v>
      </c>
      <c r="N50" t="s">
        <v>282</v>
      </c>
    </row>
    <row r="51" spans="3:15" x14ac:dyDescent="0.25">
      <c r="C51" s="132" t="s">
        <v>289</v>
      </c>
      <c r="D51" s="132"/>
      <c r="E51" s="284">
        <f t="shared" ref="E51:F51" si="16">SUM(E45:E50)</f>
        <v>375319</v>
      </c>
      <c r="F51" s="284">
        <f t="shared" si="16"/>
        <v>365725</v>
      </c>
      <c r="G51" s="284">
        <f t="shared" ref="G51:L51" si="17">SUM(G45:G50)</f>
        <v>338516</v>
      </c>
      <c r="H51" s="53">
        <f t="shared" ca="1" si="17"/>
        <v>335500.2203077302</v>
      </c>
      <c r="I51" s="53">
        <f t="shared" ca="1" si="17"/>
        <v>331453.78831185907</v>
      </c>
      <c r="J51" s="53">
        <f t="shared" ca="1" si="17"/>
        <v>331563.62581515522</v>
      </c>
      <c r="K51" s="53">
        <f t="shared" ca="1" si="17"/>
        <v>336181.74585598783</v>
      </c>
      <c r="L51" s="53">
        <f t="shared" ca="1" si="17"/>
        <v>345685.62900825473</v>
      </c>
    </row>
    <row r="52" spans="3:15" x14ac:dyDescent="0.25">
      <c r="C52" s="122"/>
      <c r="D52" s="122"/>
      <c r="E52" s="56"/>
      <c r="F52" s="56"/>
      <c r="G52" s="56"/>
      <c r="H52" s="56"/>
      <c r="I52" s="56"/>
      <c r="J52" s="56"/>
      <c r="K52" s="56"/>
      <c r="L52" s="56"/>
    </row>
    <row r="53" spans="3:15" x14ac:dyDescent="0.25">
      <c r="C53" s="122" t="s">
        <v>290</v>
      </c>
      <c r="D53" s="122"/>
      <c r="E53" s="97">
        <v>44242</v>
      </c>
      <c r="F53" s="97">
        <v>55888</v>
      </c>
      <c r="G53" s="97">
        <v>46236</v>
      </c>
      <c r="H53" s="56">
        <f ca="1">G53*H18/G18</f>
        <v>49024.164287723484</v>
      </c>
      <c r="I53" s="56">
        <f t="shared" ref="I53:L53" ca="1" si="18">H53*I18/H18</f>
        <v>52406.8316235764</v>
      </c>
      <c r="J53" s="56">
        <f t="shared" ca="1" si="18"/>
        <v>56022.90300560317</v>
      </c>
      <c r="K53" s="56">
        <f t="shared" ca="1" si="18"/>
        <v>59888.483312989789</v>
      </c>
      <c r="L53" s="56">
        <f t="shared" ca="1" si="18"/>
        <v>64020.788661586084</v>
      </c>
      <c r="N53" t="s">
        <v>284</v>
      </c>
    </row>
    <row r="54" spans="3:15" x14ac:dyDescent="0.25">
      <c r="C54" s="122" t="s">
        <v>291</v>
      </c>
      <c r="D54" s="122"/>
      <c r="E54" s="97">
        <v>30551</v>
      </c>
      <c r="F54" s="97">
        <v>33327</v>
      </c>
      <c r="G54" s="97">
        <v>37720</v>
      </c>
      <c r="H54" s="56">
        <f ca="1">G54*(1+H36)</f>
        <v>39983.200000000004</v>
      </c>
      <c r="I54" s="56">
        <f t="shared" ref="I54:L54" ca="1" si="19">H54*(1+I36)</f>
        <v>42742.040800000002</v>
      </c>
      <c r="J54" s="56">
        <f t="shared" ca="1" si="19"/>
        <v>45691.241615200001</v>
      </c>
      <c r="K54" s="56">
        <f t="shared" ca="1" si="19"/>
        <v>48843.937286648797</v>
      </c>
      <c r="L54" s="56">
        <f t="shared" ca="1" si="19"/>
        <v>52214.168959427559</v>
      </c>
      <c r="N54" t="s">
        <v>282</v>
      </c>
    </row>
    <row r="55" spans="3:15" x14ac:dyDescent="0.25">
      <c r="C55" s="122" t="s">
        <v>292</v>
      </c>
      <c r="D55" s="122"/>
      <c r="E55" s="97">
        <f>7548+2836</f>
        <v>10384</v>
      </c>
      <c r="F55" s="97">
        <v>5966</v>
      </c>
      <c r="G55" s="97">
        <v>5522</v>
      </c>
      <c r="H55" s="56">
        <f ca="1">G55*(1+H36)</f>
        <v>5853.3200000000006</v>
      </c>
      <c r="I55" s="56">
        <f t="shared" ref="I55:L55" ca="1" si="20">H55*(1+I36)</f>
        <v>6257.1990800000003</v>
      </c>
      <c r="J55" s="56">
        <f t="shared" ca="1" si="20"/>
        <v>6688.9458165200003</v>
      </c>
      <c r="K55" s="56">
        <f t="shared" ca="1" si="20"/>
        <v>7150.4830778598798</v>
      </c>
      <c r="L55" s="56">
        <f t="shared" ca="1" si="20"/>
        <v>7643.8664102322109</v>
      </c>
      <c r="N55" t="s">
        <v>282</v>
      </c>
      <c r="O55" s="56"/>
    </row>
    <row r="56" spans="3:15" x14ac:dyDescent="0.25">
      <c r="C56" s="122" t="s">
        <v>293</v>
      </c>
      <c r="D56" s="122"/>
      <c r="E56" s="97">
        <v>11977</v>
      </c>
      <c r="F56" s="97">
        <v>11964</v>
      </c>
      <c r="G56" s="97">
        <v>5980</v>
      </c>
      <c r="H56" s="56">
        <f ca="1">H135</f>
        <v>12000</v>
      </c>
      <c r="I56" s="56">
        <f ca="1">I135</f>
        <v>12000</v>
      </c>
      <c r="J56" s="56">
        <f ca="1">J135</f>
        <v>12000</v>
      </c>
      <c r="K56" s="56">
        <f ca="1">K135</f>
        <v>12000</v>
      </c>
      <c r="L56" s="56">
        <f ca="1">L135</f>
        <v>12000</v>
      </c>
      <c r="N56" t="s">
        <v>294</v>
      </c>
    </row>
    <row r="57" spans="3:15" x14ac:dyDescent="0.25">
      <c r="C57" s="122" t="s">
        <v>295</v>
      </c>
      <c r="D57" s="122"/>
      <c r="E57" s="97">
        <f>6496+97207</f>
        <v>103703</v>
      </c>
      <c r="F57" s="97">
        <f>8784+93735</f>
        <v>102519</v>
      </c>
      <c r="G57" s="97">
        <f>10260+91807</f>
        <v>102067</v>
      </c>
      <c r="H57" s="56">
        <f>G57</f>
        <v>102067</v>
      </c>
      <c r="I57" s="56">
        <f t="shared" ref="I57:L57" si="21">H57</f>
        <v>102067</v>
      </c>
      <c r="J57" s="56">
        <f t="shared" si="21"/>
        <v>102067</v>
      </c>
      <c r="K57" s="56">
        <f t="shared" si="21"/>
        <v>102067</v>
      </c>
      <c r="L57" s="56">
        <f t="shared" si="21"/>
        <v>102067</v>
      </c>
      <c r="N57" t="s">
        <v>296</v>
      </c>
    </row>
    <row r="58" spans="3:15" ht="15.75" customHeight="1" x14ac:dyDescent="0.25">
      <c r="C58" s="122" t="s">
        <v>297</v>
      </c>
      <c r="D58" s="122"/>
      <c r="E58" s="97">
        <v>40415</v>
      </c>
      <c r="F58" s="97">
        <v>48914</v>
      </c>
      <c r="G58" s="97">
        <v>50503</v>
      </c>
      <c r="H58" s="56">
        <f ca="1">G58*(1+H36)</f>
        <v>53533.18</v>
      </c>
      <c r="I58" s="56">
        <f t="shared" ref="I58:L58" ca="1" si="22">H58*(1+I36)</f>
        <v>57226.969420000001</v>
      </c>
      <c r="J58" s="56">
        <f t="shared" ca="1" si="22"/>
        <v>61175.630309979999</v>
      </c>
      <c r="K58" s="56">
        <f t="shared" ca="1" si="22"/>
        <v>65396.748801368616</v>
      </c>
      <c r="L58" s="56">
        <f t="shared" ca="1" si="22"/>
        <v>69909.124468663053</v>
      </c>
      <c r="N58" t="s">
        <v>282</v>
      </c>
    </row>
    <row r="59" spans="3:15" x14ac:dyDescent="0.25">
      <c r="C59" s="132" t="s">
        <v>298</v>
      </c>
      <c r="D59" s="132"/>
      <c r="E59" s="284">
        <f t="shared" ref="E59:F59" si="23">SUM(E53:E58)</f>
        <v>241272</v>
      </c>
      <c r="F59" s="284">
        <f t="shared" si="23"/>
        <v>258578</v>
      </c>
      <c r="G59" s="284">
        <f t="shared" ref="G59:L59" si="24">SUM(G53:G58)</f>
        <v>248028</v>
      </c>
      <c r="H59" s="53">
        <f t="shared" ca="1" si="24"/>
        <v>262460.8642877235</v>
      </c>
      <c r="I59" s="53">
        <f t="shared" ca="1" si="24"/>
        <v>272700.04092357639</v>
      </c>
      <c r="J59" s="53">
        <f t="shared" ca="1" si="24"/>
        <v>283645.72074730316</v>
      </c>
      <c r="K59" s="53">
        <f t="shared" ca="1" si="24"/>
        <v>295346.65247886709</v>
      </c>
      <c r="L59" s="53">
        <f t="shared" ca="1" si="24"/>
        <v>307854.9484999089</v>
      </c>
    </row>
    <row r="60" spans="3:15" x14ac:dyDescent="0.25">
      <c r="C60" s="132"/>
      <c r="D60" s="132"/>
      <c r="E60" s="284"/>
      <c r="F60" s="284"/>
      <c r="G60" s="284"/>
      <c r="H60" s="56"/>
      <c r="I60" s="56"/>
      <c r="J60" s="56"/>
      <c r="K60" s="56"/>
      <c r="L60" s="56"/>
    </row>
    <row r="61" spans="3:15" x14ac:dyDescent="0.25">
      <c r="C61" s="122" t="s">
        <v>299</v>
      </c>
      <c r="D61" s="122"/>
      <c r="E61" s="97">
        <v>35867</v>
      </c>
      <c r="F61" s="97">
        <v>40201</v>
      </c>
      <c r="G61" s="97">
        <v>45174</v>
      </c>
      <c r="H61" s="56">
        <f ca="1">G61+H32</f>
        <v>51606.080000000002</v>
      </c>
      <c r="I61" s="56">
        <f t="shared" ref="I61:L61" ca="1" si="25">H61+I32</f>
        <v>58481.97352</v>
      </c>
      <c r="J61" s="56">
        <f t="shared" ca="1" si="25"/>
        <v>65832.303692879999</v>
      </c>
      <c r="K61" s="56">
        <f t="shared" ca="1" si="25"/>
        <v>73689.806647688718</v>
      </c>
      <c r="L61" s="56">
        <f t="shared" ca="1" si="25"/>
        <v>82089.477306379238</v>
      </c>
      <c r="N61" t="s">
        <v>300</v>
      </c>
    </row>
    <row r="62" spans="3:15" ht="15.75" customHeight="1" x14ac:dyDescent="0.25">
      <c r="C62" s="122" t="s">
        <v>301</v>
      </c>
      <c r="D62" s="122"/>
      <c r="E62" s="100">
        <f>98330</f>
        <v>98330</v>
      </c>
      <c r="F62" s="97">
        <v>70400</v>
      </c>
      <c r="G62" s="97">
        <v>45898</v>
      </c>
      <c r="H62" s="56">
        <f ca="1">H119</f>
        <v>22017.276020006655</v>
      </c>
      <c r="I62" s="56">
        <f t="shared" ref="I62:L62" ca="1" si="26">I119</f>
        <v>855.77386828267481</v>
      </c>
      <c r="J62" s="56">
        <f t="shared" ca="1" si="26"/>
        <v>-17330.39862502797</v>
      </c>
      <c r="K62" s="56">
        <f t="shared" ca="1" si="26"/>
        <v>-32270.713270567998</v>
      </c>
      <c r="L62" s="56">
        <f t="shared" ca="1" si="26"/>
        <v>-43674.796798033451</v>
      </c>
      <c r="N62" t="s">
        <v>302</v>
      </c>
      <c r="O62" s="56"/>
    </row>
    <row r="63" spans="3:15" ht="15.75" customHeight="1" x14ac:dyDescent="0.25">
      <c r="C63" s="122" t="s">
        <v>303</v>
      </c>
      <c r="D63" s="122"/>
      <c r="E63" s="97">
        <v>-150</v>
      </c>
      <c r="F63" s="97">
        <v>-3454</v>
      </c>
      <c r="G63" s="97">
        <v>-584</v>
      </c>
      <c r="H63" s="56">
        <f>G63</f>
        <v>-584</v>
      </c>
      <c r="I63" s="56">
        <f>H63</f>
        <v>-584</v>
      </c>
      <c r="J63" s="56">
        <f>I63</f>
        <v>-584</v>
      </c>
      <c r="K63" s="56">
        <f>J63</f>
        <v>-584</v>
      </c>
      <c r="L63" s="56">
        <f>K63</f>
        <v>-584</v>
      </c>
      <c r="N63" t="s">
        <v>296</v>
      </c>
    </row>
    <row r="64" spans="3:15" x14ac:dyDescent="0.25">
      <c r="C64" s="132" t="s">
        <v>304</v>
      </c>
      <c r="D64" s="132"/>
      <c r="E64" s="53">
        <f t="shared" ref="E64:L64" si="27">SUM(E61:E63)</f>
        <v>134047</v>
      </c>
      <c r="F64" s="53">
        <f t="shared" si="27"/>
        <v>107147</v>
      </c>
      <c r="G64" s="53">
        <f t="shared" si="27"/>
        <v>90488</v>
      </c>
      <c r="H64" s="53">
        <f t="shared" ca="1" si="27"/>
        <v>73039.356020006657</v>
      </c>
      <c r="I64" s="53">
        <f t="shared" ca="1" si="27"/>
        <v>58753.747388282674</v>
      </c>
      <c r="J64" s="53">
        <f t="shared" ca="1" si="27"/>
        <v>47917.905067852029</v>
      </c>
      <c r="K64" s="53">
        <f t="shared" ca="1" si="27"/>
        <v>40835.09337712072</v>
      </c>
      <c r="L64" s="53">
        <f t="shared" ca="1" si="27"/>
        <v>37830.680508345788</v>
      </c>
    </row>
    <row r="65" spans="3:14" x14ac:dyDescent="0.25">
      <c r="E65" s="56"/>
      <c r="F65" s="56"/>
      <c r="G65" s="56"/>
    </row>
    <row r="66" spans="3:14" x14ac:dyDescent="0.25">
      <c r="C66" s="24" t="s">
        <v>305</v>
      </c>
      <c r="D66" s="24"/>
      <c r="E66" s="293">
        <f>ROUND(E51-E59-E64,3)</f>
        <v>0</v>
      </c>
      <c r="F66" s="293">
        <f>ROUND(F51-F59-F64,3)</f>
        <v>0</v>
      </c>
      <c r="G66" s="293">
        <f t="shared" ref="G66:L66" si="28">ROUND(G51-G59-G64,3)</f>
        <v>0</v>
      </c>
      <c r="H66" s="293">
        <f t="shared" ca="1" si="28"/>
        <v>0</v>
      </c>
      <c r="I66" s="293">
        <f t="shared" ca="1" si="28"/>
        <v>0</v>
      </c>
      <c r="J66" s="293">
        <f t="shared" ca="1" si="28"/>
        <v>0</v>
      </c>
      <c r="K66" s="293">
        <f t="shared" ca="1" si="28"/>
        <v>0</v>
      </c>
      <c r="L66" s="293">
        <f t="shared" ca="1" si="28"/>
        <v>0</v>
      </c>
    </row>
    <row r="67" spans="3:14" x14ac:dyDescent="0.25">
      <c r="F67" s="56"/>
      <c r="G67" s="56"/>
      <c r="I67" s="56"/>
      <c r="J67" s="56"/>
      <c r="K67" s="56"/>
      <c r="L67" s="56"/>
    </row>
    <row r="68" spans="3:14" x14ac:dyDescent="0.25">
      <c r="C68" s="230" t="s">
        <v>306</v>
      </c>
      <c r="D68" s="230"/>
      <c r="E68" s="288"/>
      <c r="F68" s="288"/>
      <c r="G68" s="288"/>
      <c r="H68" s="288"/>
      <c r="I68" s="288"/>
      <c r="J68" s="288"/>
      <c r="K68" s="288"/>
      <c r="L68" s="288"/>
    </row>
    <row r="69" spans="3:14" x14ac:dyDescent="0.25">
      <c r="C69" s="289" t="str">
        <f>C14</f>
        <v xml:space="preserve">Fiscal year  </v>
      </c>
      <c r="D69" s="289"/>
      <c r="E69" s="290"/>
      <c r="F69" s="290"/>
      <c r="G69" s="290"/>
      <c r="H69" s="291">
        <f t="shared" ref="H69:L70" si="29">H14</f>
        <v>2020</v>
      </c>
      <c r="I69" s="291">
        <f t="shared" si="29"/>
        <v>2021</v>
      </c>
      <c r="J69" s="291">
        <f t="shared" si="29"/>
        <v>2022</v>
      </c>
      <c r="K69" s="291">
        <f t="shared" si="29"/>
        <v>2023</v>
      </c>
      <c r="L69" s="291">
        <f t="shared" si="29"/>
        <v>2024</v>
      </c>
    </row>
    <row r="70" spans="3:14" x14ac:dyDescent="0.25">
      <c r="C70" s="193" t="str">
        <f>C15</f>
        <v>Fiscal year end date</v>
      </c>
      <c r="D70" s="193"/>
      <c r="E70" s="292"/>
      <c r="F70" s="292"/>
      <c r="G70" s="292"/>
      <c r="H70" s="292">
        <f t="shared" si="29"/>
        <v>44104</v>
      </c>
      <c r="I70" s="292">
        <f t="shared" si="29"/>
        <v>44469</v>
      </c>
      <c r="J70" s="292">
        <f t="shared" si="29"/>
        <v>44834</v>
      </c>
      <c r="K70" s="292">
        <f t="shared" si="29"/>
        <v>45199</v>
      </c>
      <c r="L70" s="292">
        <f t="shared" si="29"/>
        <v>45565</v>
      </c>
    </row>
    <row r="72" spans="3:14" x14ac:dyDescent="0.25">
      <c r="C72" t="s">
        <v>264</v>
      </c>
      <c r="E72" s="44"/>
      <c r="F72" s="44"/>
      <c r="G72" s="44"/>
      <c r="H72" s="56">
        <f ca="1">H28</f>
        <v>58068.411791803133</v>
      </c>
      <c r="I72" s="56">
        <f t="shared" ref="I72:L72" ca="1" si="30">I28</f>
        <v>61721.810321792007</v>
      </c>
      <c r="J72" s="56">
        <f t="shared" ca="1" si="30"/>
        <v>65719.301400773867</v>
      </c>
      <c r="K72" s="56">
        <f t="shared" ca="1" si="30"/>
        <v>70080.259438958354</v>
      </c>
      <c r="L72" s="56">
        <f t="shared" ca="1" si="30"/>
        <v>74831.34720758551</v>
      </c>
      <c r="N72" s="11"/>
    </row>
    <row r="73" spans="3:14" x14ac:dyDescent="0.25">
      <c r="C73" t="s">
        <v>307</v>
      </c>
      <c r="E73" s="44"/>
      <c r="F73" s="44"/>
      <c r="G73" s="44"/>
      <c r="H73" s="56">
        <f ca="1">H30</f>
        <v>11808.331069482967</v>
      </c>
      <c r="I73" s="56">
        <f t="shared" ref="I73:L73" ca="1" si="31">I30</f>
        <v>12418.253260687266</v>
      </c>
      <c r="J73" s="56">
        <f t="shared" ca="1" si="31"/>
        <v>13558.159134874686</v>
      </c>
      <c r="K73" s="56">
        <f t="shared" ca="1" si="31"/>
        <v>14796.248715925842</v>
      </c>
      <c r="L73" s="56">
        <f t="shared" ca="1" si="31"/>
        <v>16140.644263520915</v>
      </c>
      <c r="N73" t="s">
        <v>308</v>
      </c>
    </row>
    <row r="74" spans="3:14" x14ac:dyDescent="0.25">
      <c r="C74" t="s">
        <v>268</v>
      </c>
      <c r="E74" s="44"/>
      <c r="F74" s="44"/>
      <c r="G74" s="44"/>
      <c r="H74" s="56">
        <f ca="1">H32</f>
        <v>6432.08</v>
      </c>
      <c r="I74" s="56">
        <f t="shared" ref="I74:L74" ca="1" si="32">I32</f>
        <v>6875.8935199999996</v>
      </c>
      <c r="J74" s="56">
        <f t="shared" ca="1" si="32"/>
        <v>7350.3301728799988</v>
      </c>
      <c r="K74" s="56">
        <f t="shared" ca="1" si="32"/>
        <v>7857.5029548087186</v>
      </c>
      <c r="L74" s="56">
        <f t="shared" ca="1" si="32"/>
        <v>8399.6706586905202</v>
      </c>
    </row>
    <row r="75" spans="3:14" x14ac:dyDescent="0.25">
      <c r="C75" t="s">
        <v>309</v>
      </c>
      <c r="E75" s="56"/>
      <c r="F75" s="56"/>
      <c r="G75" s="56"/>
      <c r="H75" s="56">
        <f ca="1">SUM(G46:G48)-SUM(H46:H48)</f>
        <v>-3736.9636544119858</v>
      </c>
      <c r="I75" s="56">
        <f t="shared" ref="I75:L75" ca="1" si="33">SUM(H46:H48)-SUM(I46:I48)</f>
        <v>-4553.9284921544313</v>
      </c>
      <c r="J75" s="56">
        <f t="shared" ca="1" si="33"/>
        <v>-4868.149558113073</v>
      </c>
      <c r="K75" s="56">
        <f t="shared" ca="1" si="33"/>
        <v>-5204.0518776228855</v>
      </c>
      <c r="L75" s="56">
        <f t="shared" ca="1" si="33"/>
        <v>-5563.131457178868</v>
      </c>
    </row>
    <row r="76" spans="3:14" x14ac:dyDescent="0.25">
      <c r="C76" t="s">
        <v>310</v>
      </c>
      <c r="E76" s="56"/>
      <c r="F76" s="56"/>
      <c r="G76" s="56"/>
      <c r="H76" s="56">
        <f ca="1">SUM(H53:H55)-SUM(G53:G55)</f>
        <v>5382.6842877235031</v>
      </c>
      <c r="I76" s="56">
        <f ca="1">SUM(I53:I55)-SUM(H53:H55)</f>
        <v>6545.3872158528975</v>
      </c>
      <c r="J76" s="56">
        <f ca="1">SUM(J53:J55)-SUM(I53:I55)</f>
        <v>6997.0189337467746</v>
      </c>
      <c r="K76" s="56">
        <f ca="1">SUM(K53:K55)-SUM(J53:J55)</f>
        <v>7479.8132401752955</v>
      </c>
      <c r="L76" s="56">
        <f ca="1">SUM(L53:L55)-SUM(K53:K55)</f>
        <v>7995.9203537473804</v>
      </c>
    </row>
    <row r="77" spans="3:14" x14ac:dyDescent="0.25">
      <c r="C77" t="s">
        <v>288</v>
      </c>
      <c r="H77" s="56">
        <f ca="1">-H111</f>
        <v>-3300.5</v>
      </c>
      <c r="I77" s="56">
        <f t="shared" ref="I77:L77" ca="1" si="34">-I111</f>
        <v>-3825.036500000002</v>
      </c>
      <c r="J77" s="56">
        <f t="shared" ca="1" si="34"/>
        <v>-4088.9640184999953</v>
      </c>
      <c r="K77" s="56">
        <f t="shared" ca="1" si="34"/>
        <v>-4371.1025357764956</v>
      </c>
      <c r="L77" s="56">
        <f t="shared" ca="1" si="34"/>
        <v>-4672.7086107450741</v>
      </c>
      <c r="N77" t="s">
        <v>311</v>
      </c>
    </row>
    <row r="78" spans="3:14" x14ac:dyDescent="0.25">
      <c r="C78" t="s">
        <v>297</v>
      </c>
      <c r="H78" s="56">
        <f ca="1">H58-G58</f>
        <v>3030.1800000000003</v>
      </c>
      <c r="I78" s="56">
        <f t="shared" ref="I78:L78" ca="1" si="35">I58-H58</f>
        <v>3693.789420000001</v>
      </c>
      <c r="J78" s="56">
        <f t="shared" ca="1" si="35"/>
        <v>3948.6608899799976</v>
      </c>
      <c r="K78" s="56">
        <f t="shared" ca="1" si="35"/>
        <v>4221.1184913886173</v>
      </c>
      <c r="L78" s="56">
        <f t="shared" ca="1" si="35"/>
        <v>4512.3756672944364</v>
      </c>
      <c r="N78" s="11"/>
    </row>
    <row r="79" spans="3:14" x14ac:dyDescent="0.25">
      <c r="C79" s="11" t="s">
        <v>312</v>
      </c>
      <c r="D79" s="11"/>
      <c r="H79" s="53">
        <f ca="1">SUM(H72:H78)</f>
        <v>77684.223494597623</v>
      </c>
      <c r="I79" s="53">
        <f ca="1">SUM(I72:I78)</f>
        <v>82876.168746177733</v>
      </c>
      <c r="J79" s="53">
        <f ca="1">SUM(J72:J78)</f>
        <v>88616.356955642259</v>
      </c>
      <c r="K79" s="53">
        <f ca="1">SUM(K72:K78)</f>
        <v>94859.788427857449</v>
      </c>
      <c r="L79" s="53">
        <f ca="1">SUM(L72:L78)</f>
        <v>101644.11808291482</v>
      </c>
    </row>
    <row r="80" spans="3:14" x14ac:dyDescent="0.25">
      <c r="H80" s="56"/>
      <c r="I80" s="56"/>
      <c r="J80" s="56"/>
      <c r="K80" s="56"/>
      <c r="L80" s="56"/>
    </row>
    <row r="81" spans="3:14" x14ac:dyDescent="0.25">
      <c r="C81" t="s">
        <v>109</v>
      </c>
      <c r="H81" s="56">
        <f>-(H97)</f>
        <v>-12925.83</v>
      </c>
      <c r="I81" s="56">
        <f t="shared" ref="I81:L81" si="36">-(I97)</f>
        <v>-13238.84</v>
      </c>
      <c r="J81" s="56">
        <f t="shared" ca="1" si="36"/>
        <v>-14152.319959999999</v>
      </c>
      <c r="K81" s="56">
        <f t="shared" ca="1" si="36"/>
        <v>-15128.830037239999</v>
      </c>
      <c r="L81" s="56">
        <f t="shared" ca="1" si="36"/>
        <v>-16172.719309809558</v>
      </c>
      <c r="N81" t="s">
        <v>287</v>
      </c>
    </row>
    <row r="82" spans="3:14" x14ac:dyDescent="0.25">
      <c r="C82" s="11" t="s">
        <v>313</v>
      </c>
      <c r="D82" s="11"/>
      <c r="H82" s="53">
        <f>IFERROR(H81,"NA")</f>
        <v>-12925.83</v>
      </c>
      <c r="I82" s="53">
        <f>IFERROR(I81,"NA")</f>
        <v>-13238.84</v>
      </c>
      <c r="J82" s="53">
        <f ca="1">IFERROR(J81,"NA")</f>
        <v>-14152.319959999999</v>
      </c>
      <c r="K82" s="53">
        <f ca="1">IFERROR(K81,"NA")</f>
        <v>-15128.830037239999</v>
      </c>
      <c r="L82" s="53">
        <f ca="1">IFERROR(L81,"NA")</f>
        <v>-16172.719309809558</v>
      </c>
    </row>
    <row r="83" spans="3:14" x14ac:dyDescent="0.25">
      <c r="H83" s="56"/>
      <c r="I83" s="56"/>
      <c r="J83" s="56"/>
      <c r="K83" s="56"/>
      <c r="L83" s="56"/>
    </row>
    <row r="84" spans="3:14" x14ac:dyDescent="0.25">
      <c r="C84" t="s">
        <v>314</v>
      </c>
      <c r="H84" s="56">
        <f>H57-G57</f>
        <v>0</v>
      </c>
      <c r="I84" s="56">
        <f t="shared" ref="I84:L84" si="37">I57-H57</f>
        <v>0</v>
      </c>
      <c r="J84" s="56">
        <f t="shared" si="37"/>
        <v>0</v>
      </c>
      <c r="K84" s="56">
        <f t="shared" si="37"/>
        <v>0</v>
      </c>
      <c r="L84" s="56">
        <f t="shared" si="37"/>
        <v>0</v>
      </c>
    </row>
    <row r="85" spans="3:14" x14ac:dyDescent="0.25">
      <c r="C85" t="s">
        <v>315</v>
      </c>
      <c r="H85" s="56">
        <f ca="1">H56-G56</f>
        <v>6020</v>
      </c>
      <c r="I85" s="56">
        <f t="shared" ref="I85:L85" ca="1" si="38">I56-H56</f>
        <v>0</v>
      </c>
      <c r="J85" s="56">
        <f t="shared" ca="1" si="38"/>
        <v>0</v>
      </c>
      <c r="K85" s="56">
        <f t="shared" ca="1" si="38"/>
        <v>0</v>
      </c>
      <c r="L85" s="56">
        <f t="shared" ca="1" si="38"/>
        <v>0</v>
      </c>
      <c r="N85" t="s">
        <v>316</v>
      </c>
    </row>
    <row r="86" spans="3:14" x14ac:dyDescent="0.25">
      <c r="C86" t="s">
        <v>317</v>
      </c>
      <c r="H86" s="56">
        <f>H118</f>
        <v>-67101</v>
      </c>
      <c r="I86" s="56">
        <f t="shared" ref="I86:L86" si="39">I118</f>
        <v>-67101</v>
      </c>
      <c r="J86" s="56">
        <f t="shared" si="39"/>
        <v>-67101</v>
      </c>
      <c r="K86" s="56">
        <f t="shared" si="39"/>
        <v>-67101</v>
      </c>
      <c r="L86" s="56">
        <f t="shared" si="39"/>
        <v>-67101</v>
      </c>
      <c r="N86" t="s">
        <v>302</v>
      </c>
    </row>
    <row r="87" spans="3:14" x14ac:dyDescent="0.25">
      <c r="C87" t="s">
        <v>318</v>
      </c>
      <c r="H87" s="56">
        <f ca="1">H117</f>
        <v>-14848.135771796482</v>
      </c>
      <c r="I87" s="56">
        <f t="shared" ref="I87:L87" ca="1" si="40">I117</f>
        <v>-15782.312473515985</v>
      </c>
      <c r="J87" s="56">
        <f t="shared" ca="1" si="40"/>
        <v>-16804.473894084516</v>
      </c>
      <c r="K87" s="56">
        <f t="shared" ca="1" si="40"/>
        <v>-17919.574084498385</v>
      </c>
      <c r="L87" s="56">
        <f t="shared" ca="1" si="40"/>
        <v>-19134.430735050959</v>
      </c>
      <c r="N87" t="s">
        <v>302</v>
      </c>
    </row>
    <row r="88" spans="3:14" x14ac:dyDescent="0.25">
      <c r="C88" s="11" t="s">
        <v>319</v>
      </c>
      <c r="D88" s="11"/>
      <c r="H88" s="53">
        <f ca="1">SUM(H84:H87)</f>
        <v>-75929.135771796486</v>
      </c>
      <c r="I88" s="53">
        <f t="shared" ref="I88:L88" ca="1" si="41">SUM(I84:I87)</f>
        <v>-82883.31247351598</v>
      </c>
      <c r="J88" s="53">
        <f t="shared" ca="1" si="41"/>
        <v>-83905.473894084513</v>
      </c>
      <c r="K88" s="53">
        <f t="shared" ca="1" si="41"/>
        <v>-85020.574084498381</v>
      </c>
      <c r="L88" s="53">
        <f t="shared" ca="1" si="41"/>
        <v>-86235.430735050963</v>
      </c>
    </row>
    <row r="89" spans="3:14" x14ac:dyDescent="0.25">
      <c r="H89" s="56"/>
      <c r="I89" s="56"/>
      <c r="J89" s="56"/>
      <c r="K89" s="56"/>
      <c r="L89" s="56"/>
    </row>
    <row r="90" spans="3:14" x14ac:dyDescent="0.25">
      <c r="C90" s="11" t="s">
        <v>320</v>
      </c>
      <c r="D90" s="11"/>
      <c r="H90" s="53">
        <f ca="1">H79+H82+H88</f>
        <v>-11170.742277198864</v>
      </c>
      <c r="I90" s="53">
        <f ca="1">I79+I82+I88</f>
        <v>-13245.983727338244</v>
      </c>
      <c r="J90" s="53">
        <f ca="1">J79+J82+J88</f>
        <v>-9441.4368984422472</v>
      </c>
      <c r="K90" s="53">
        <f ca="1">K79+K82+K88</f>
        <v>-5289.615693880929</v>
      </c>
      <c r="L90" s="53">
        <f ca="1">L79+L82+L88</f>
        <v>-764.03196194570046</v>
      </c>
    </row>
    <row r="92" spans="3:14" x14ac:dyDescent="0.25">
      <c r="C92" s="230" t="s">
        <v>321</v>
      </c>
      <c r="D92" s="230"/>
      <c r="E92" s="193"/>
      <c r="F92" s="193"/>
      <c r="G92" s="193"/>
      <c r="H92" s="193"/>
      <c r="I92" s="193"/>
      <c r="J92" s="193"/>
      <c r="K92" s="193"/>
      <c r="L92" s="193"/>
    </row>
    <row r="93" spans="3:14" x14ac:dyDescent="0.25">
      <c r="C93" s="289" t="str">
        <f t="shared" ref="C93:L94" si="42">C14</f>
        <v xml:space="preserve">Fiscal year  </v>
      </c>
      <c r="D93" s="289"/>
      <c r="E93" s="290">
        <f t="shared" si="42"/>
        <v>2017</v>
      </c>
      <c r="F93" s="290">
        <f t="shared" si="42"/>
        <v>2018</v>
      </c>
      <c r="G93" s="290">
        <f t="shared" si="42"/>
        <v>2019</v>
      </c>
      <c r="H93" s="291">
        <f t="shared" si="42"/>
        <v>2020</v>
      </c>
      <c r="I93" s="291">
        <f t="shared" si="42"/>
        <v>2021</v>
      </c>
      <c r="J93" s="291">
        <f t="shared" si="42"/>
        <v>2022</v>
      </c>
      <c r="K93" s="291">
        <f t="shared" si="42"/>
        <v>2023</v>
      </c>
      <c r="L93" s="291">
        <f t="shared" si="42"/>
        <v>2024</v>
      </c>
    </row>
    <row r="94" spans="3:14" x14ac:dyDescent="0.25">
      <c r="C94" s="193" t="str">
        <f t="shared" si="42"/>
        <v>Fiscal year end date</v>
      </c>
      <c r="D94" s="193"/>
      <c r="E94" s="292">
        <f t="shared" si="42"/>
        <v>43008</v>
      </c>
      <c r="F94" s="292">
        <f t="shared" si="42"/>
        <v>43372</v>
      </c>
      <c r="G94" s="292">
        <f t="shared" si="42"/>
        <v>43737</v>
      </c>
      <c r="H94" s="292">
        <f t="shared" si="42"/>
        <v>44104</v>
      </c>
      <c r="I94" s="292">
        <f t="shared" si="42"/>
        <v>44469</v>
      </c>
      <c r="J94" s="292">
        <f t="shared" si="42"/>
        <v>44834</v>
      </c>
      <c r="K94" s="292">
        <f t="shared" si="42"/>
        <v>45199</v>
      </c>
      <c r="L94" s="292">
        <f t="shared" si="42"/>
        <v>45565</v>
      </c>
    </row>
    <row r="95" spans="3:14" x14ac:dyDescent="0.25">
      <c r="C95" s="11"/>
      <c r="D95" s="11"/>
      <c r="H95" s="294" t="s">
        <v>1</v>
      </c>
      <c r="I95" s="294"/>
      <c r="J95" s="294"/>
      <c r="K95" s="294"/>
      <c r="L95" s="294"/>
    </row>
    <row r="96" spans="3:14" x14ac:dyDescent="0.25">
      <c r="C96" s="122" t="s">
        <v>322</v>
      </c>
      <c r="D96" s="122"/>
      <c r="H96" s="56">
        <f>G99</f>
        <v>37378</v>
      </c>
      <c r="I96" s="56">
        <f>H99</f>
        <v>39817.318930517038</v>
      </c>
      <c r="J96" s="56">
        <f>I99</f>
        <v>42050.931249829766</v>
      </c>
      <c r="K96" s="56">
        <f ca="1">J99</f>
        <v>44155.616419975078</v>
      </c>
      <c r="L96" s="56">
        <f ca="1">K99</f>
        <v>46102.948266115614</v>
      </c>
      <c r="N96" t="s">
        <v>323</v>
      </c>
    </row>
    <row r="97" spans="3:18" x14ac:dyDescent="0.25">
      <c r="C97" s="295" t="s">
        <v>324</v>
      </c>
      <c r="D97" s="97">
        <v>12734</v>
      </c>
      <c r="E97" s="97">
        <v>12451</v>
      </c>
      <c r="F97" s="97">
        <v>13313</v>
      </c>
      <c r="G97" s="97">
        <v>10495</v>
      </c>
      <c r="H97" s="97">
        <v>12925.83</v>
      </c>
      <c r="I97" s="97">
        <v>13238.84</v>
      </c>
      <c r="J97" s="97">
        <f ca="1">I97*(1+J36)</f>
        <v>14152.319959999999</v>
      </c>
      <c r="K97" s="97">
        <f t="shared" ref="K97:L97" ca="1" si="43">J97*(1+K36)</f>
        <v>15128.830037239999</v>
      </c>
      <c r="L97" s="97">
        <f t="shared" ca="1" si="43"/>
        <v>16172.719309809558</v>
      </c>
      <c r="N97" t="s">
        <v>325</v>
      </c>
    </row>
    <row r="98" spans="3:18" x14ac:dyDescent="0.25">
      <c r="C98" s="296" t="s">
        <v>326</v>
      </c>
      <c r="D98" s="297">
        <v>-8300</v>
      </c>
      <c r="E98" s="297">
        <v>-8200</v>
      </c>
      <c r="F98" s="297">
        <v>-9300</v>
      </c>
      <c r="G98" s="297">
        <v>-11300</v>
      </c>
      <c r="H98" s="298">
        <f>-(H101*H97)</f>
        <v>-10486.511069482967</v>
      </c>
      <c r="I98" s="298">
        <f>-(I101*I97)</f>
        <v>-11005.227680687267</v>
      </c>
      <c r="J98" s="298">
        <f ca="1">-(J101*J97)</f>
        <v>-12047.634789854686</v>
      </c>
      <c r="K98" s="298">
        <f ca="1">-(K101*K97)</f>
        <v>-13181.498191099461</v>
      </c>
      <c r="L98" s="298">
        <f ca="1">-(L101*L97)</f>
        <v>-14414.475952481514</v>
      </c>
      <c r="N98" t="s">
        <v>327</v>
      </c>
    </row>
    <row r="99" spans="3:18" x14ac:dyDescent="0.25">
      <c r="C99" s="299" t="s">
        <v>328</v>
      </c>
      <c r="D99" s="53">
        <f>D49</f>
        <v>0</v>
      </c>
      <c r="E99" s="53">
        <f>E49</f>
        <v>33783</v>
      </c>
      <c r="F99" s="53">
        <f>F49</f>
        <v>41304</v>
      </c>
      <c r="G99" s="53">
        <f>G49</f>
        <v>37378</v>
      </c>
      <c r="H99" s="53">
        <f>SUM(H96:H98)</f>
        <v>39817.318930517038</v>
      </c>
      <c r="I99" s="53">
        <f>SUM(I96:I98)</f>
        <v>42050.931249829766</v>
      </c>
      <c r="J99" s="53">
        <f ca="1">SUM(J96:J98)</f>
        <v>44155.616419975078</v>
      </c>
      <c r="K99" s="53">
        <f ca="1">SUM(K96:K98)</f>
        <v>46102.948266115614</v>
      </c>
      <c r="L99" s="53">
        <f ca="1">SUM(L96:L98)</f>
        <v>47861.191623443658</v>
      </c>
      <c r="N99" t="s">
        <v>329</v>
      </c>
    </row>
    <row r="100" spans="3:18" x14ac:dyDescent="0.25">
      <c r="C100" s="122"/>
      <c r="D100" s="122"/>
      <c r="N100" s="30" t="s">
        <v>330</v>
      </c>
    </row>
    <row r="101" spans="3:18" x14ac:dyDescent="0.25">
      <c r="C101" s="122" t="s">
        <v>331</v>
      </c>
      <c r="D101" s="122"/>
      <c r="E101" s="246">
        <f>-(E98/E97)</f>
        <v>0.6585816400289134</v>
      </c>
      <c r="F101" s="246">
        <f>-(F98/F97)</f>
        <v>0.69856531210095396</v>
      </c>
      <c r="G101" s="246">
        <f>-(G98/G97)</f>
        <v>1.0767031919961887</v>
      </c>
      <c r="H101" s="287">
        <f>AVERAGE(E101:G101)</f>
        <v>0.81128338137535205</v>
      </c>
      <c r="I101" s="287">
        <f>H101+$N$101</f>
        <v>0.83128338137535207</v>
      </c>
      <c r="J101" s="287">
        <f>I101+$N$101</f>
        <v>0.85128338137535209</v>
      </c>
      <c r="K101" s="287">
        <f>J101+$N$101</f>
        <v>0.87128338137535211</v>
      </c>
      <c r="L101" s="287">
        <f>K101+$N$101</f>
        <v>0.89128338137535212</v>
      </c>
      <c r="N101" s="55">
        <v>0.02</v>
      </c>
      <c r="P101" s="300"/>
      <c r="Q101" s="300"/>
      <c r="R101" s="300"/>
    </row>
    <row r="102" spans="3:18" x14ac:dyDescent="0.25">
      <c r="C102" s="122"/>
      <c r="D102" s="122"/>
      <c r="E102" s="246"/>
      <c r="F102" s="246"/>
      <c r="G102" s="246"/>
      <c r="H102" s="287"/>
      <c r="I102" s="287"/>
      <c r="J102" s="287"/>
      <c r="K102" s="287"/>
      <c r="L102" s="287"/>
      <c r="P102" s="300"/>
      <c r="Q102" s="300"/>
      <c r="R102" s="300"/>
    </row>
    <row r="103" spans="3:18" x14ac:dyDescent="0.25">
      <c r="C103" s="301" t="s">
        <v>332</v>
      </c>
      <c r="D103" s="301"/>
      <c r="E103" s="302"/>
      <c r="F103" s="302"/>
      <c r="G103" s="302"/>
      <c r="H103" s="303"/>
      <c r="I103" s="303"/>
      <c r="J103" s="303"/>
      <c r="K103" s="303"/>
      <c r="L103" s="303"/>
      <c r="P103" s="300"/>
      <c r="Q103" s="300"/>
      <c r="R103" s="300"/>
    </row>
    <row r="104" spans="3:18" x14ac:dyDescent="0.25">
      <c r="C104" s="122" t="s">
        <v>333</v>
      </c>
      <c r="D104" s="56">
        <f t="shared" ref="D104" si="44">D106+D98</f>
        <v>2205</v>
      </c>
      <c r="E104" s="56">
        <f>E106+E98</f>
        <v>1957</v>
      </c>
      <c r="F104" s="56">
        <f>F106+F98</f>
        <v>1603</v>
      </c>
      <c r="G104" s="56">
        <f>G106+G98</f>
        <v>1247</v>
      </c>
      <c r="H104" s="100">
        <f ca="1">H105*H17</f>
        <v>1321.8200000000002</v>
      </c>
      <c r="I104" s="100">
        <f ca="1">I105*I17</f>
        <v>1413.02558</v>
      </c>
      <c r="J104" s="100">
        <f ca="1">J105*J17</f>
        <v>1510.5243450200001</v>
      </c>
      <c r="K104" s="100">
        <f ca="1">K105*K17</f>
        <v>1614.7505248263801</v>
      </c>
      <c r="L104" s="100">
        <f ca="1">L105*L17</f>
        <v>1726.1683110394001</v>
      </c>
      <c r="N104" t="s">
        <v>334</v>
      </c>
      <c r="P104" s="300"/>
      <c r="Q104" s="300"/>
      <c r="R104" s="300"/>
    </row>
    <row r="105" spans="3:18" x14ac:dyDescent="0.25">
      <c r="C105" s="54" t="s">
        <v>82</v>
      </c>
      <c r="D105" s="92">
        <f t="shared" ref="D105" si="45">D104/D17</f>
        <v>1.0225423044996499E-2</v>
      </c>
      <c r="E105" s="92">
        <f>E104/E17</f>
        <v>8.537128000209393E-3</v>
      </c>
      <c r="F105" s="92">
        <f>F104/F17</f>
        <v>6.0355051864681188E-3</v>
      </c>
      <c r="G105" s="92">
        <f>G104/G17</f>
        <v>4.7929462590420259E-3</v>
      </c>
      <c r="H105" s="287">
        <f>G105</f>
        <v>4.7929462590420259E-3</v>
      </c>
      <c r="I105" s="287">
        <f>H105</f>
        <v>4.7929462590420259E-3</v>
      </c>
      <c r="J105" s="287">
        <f>I105</f>
        <v>4.7929462590420259E-3</v>
      </c>
      <c r="K105" s="287">
        <f>J105</f>
        <v>4.7929462590420259E-3</v>
      </c>
      <c r="L105" s="287">
        <f>K105</f>
        <v>4.7929462590420259E-3</v>
      </c>
      <c r="N105" t="s">
        <v>335</v>
      </c>
    </row>
    <row r="106" spans="3:18" x14ac:dyDescent="0.25">
      <c r="C106" s="132" t="s">
        <v>336</v>
      </c>
      <c r="D106" s="53">
        <f t="shared" ref="D106" si="46">D30</f>
        <v>10505</v>
      </c>
      <c r="E106" s="53">
        <f>E30</f>
        <v>10157</v>
      </c>
      <c r="F106" s="53">
        <f>F30</f>
        <v>10903</v>
      </c>
      <c r="G106" s="53">
        <f>G30</f>
        <v>12547</v>
      </c>
      <c r="H106" s="284">
        <f ca="1">-H98+H104</f>
        <v>11808.331069482967</v>
      </c>
      <c r="I106" s="284">
        <f ca="1">-I98+I104</f>
        <v>12418.253260687266</v>
      </c>
      <c r="J106" s="284">
        <f ca="1">-J98+J104</f>
        <v>13558.159134874686</v>
      </c>
      <c r="K106" s="284">
        <f ca="1">-K98+K104</f>
        <v>14796.248715925842</v>
      </c>
      <c r="L106" s="284">
        <f ca="1">-L98+L104</f>
        <v>16140.644263520915</v>
      </c>
      <c r="N106" t="s">
        <v>337</v>
      </c>
    </row>
    <row r="107" spans="3:18" x14ac:dyDescent="0.25">
      <c r="C107" s="122"/>
      <c r="D107" s="122"/>
      <c r="E107" s="56"/>
      <c r="F107" s="56"/>
      <c r="G107" s="56"/>
      <c r="I107" s="56"/>
      <c r="J107" s="56"/>
      <c r="K107" s="56"/>
      <c r="L107" s="56"/>
    </row>
    <row r="108" spans="3:18" x14ac:dyDescent="0.25">
      <c r="C108" s="304" t="s">
        <v>338</v>
      </c>
      <c r="D108" s="304"/>
      <c r="E108" s="193"/>
      <c r="F108" s="193"/>
      <c r="G108" s="193"/>
      <c r="I108" s="56"/>
      <c r="J108" s="56"/>
      <c r="K108" s="56"/>
      <c r="L108" s="56"/>
    </row>
    <row r="109" spans="3:18" x14ac:dyDescent="0.25">
      <c r="C109" s="122" t="s">
        <v>322</v>
      </c>
      <c r="D109" s="122"/>
      <c r="E109" s="56"/>
      <c r="H109" s="305">
        <f>G112</f>
        <v>32978</v>
      </c>
      <c r="I109" s="305">
        <f ca="1">H112</f>
        <v>34956.68</v>
      </c>
      <c r="J109" s="305">
        <f ca="1">I112</f>
        <v>37368.690920000001</v>
      </c>
      <c r="K109" s="305">
        <f ca="1">J112</f>
        <v>39947.130593479997</v>
      </c>
      <c r="L109" s="305">
        <f ca="1">K112</f>
        <v>42703.482604430115</v>
      </c>
      <c r="N109" t="s">
        <v>323</v>
      </c>
    </row>
    <row r="110" spans="3:18" x14ac:dyDescent="0.25">
      <c r="C110" s="54" t="s">
        <v>339</v>
      </c>
      <c r="D110" s="54"/>
      <c r="H110" s="56">
        <f ca="1">-(H104)</f>
        <v>-1321.8200000000002</v>
      </c>
      <c r="I110" s="56">
        <f ca="1">-(I104)</f>
        <v>-1413.02558</v>
      </c>
      <c r="J110" s="56">
        <f ca="1">-(J104)</f>
        <v>-1510.5243450200001</v>
      </c>
      <c r="K110" s="56">
        <f ca="1">-(K104)</f>
        <v>-1614.7505248263801</v>
      </c>
      <c r="L110" s="56">
        <f ca="1">-(L104)</f>
        <v>-1726.1683110394001</v>
      </c>
      <c r="N110" t="s">
        <v>340</v>
      </c>
    </row>
    <row r="111" spans="3:18" ht="15" customHeight="1" x14ac:dyDescent="0.25">
      <c r="C111" s="306" t="s">
        <v>341</v>
      </c>
      <c r="D111" s="306"/>
      <c r="E111" s="71"/>
      <c r="F111" s="71"/>
      <c r="G111" s="71"/>
      <c r="H111" s="307">
        <f ca="1">H112-H110-H109</f>
        <v>3300.5</v>
      </c>
      <c r="I111" s="307">
        <f ca="1">I112-I110-I109</f>
        <v>3825.036500000002</v>
      </c>
      <c r="J111" s="307">
        <f ca="1">J112-J110-J109</f>
        <v>4088.9640184999953</v>
      </c>
      <c r="K111" s="307">
        <f ca="1">K112-K110-K109</f>
        <v>4371.1025357764956</v>
      </c>
      <c r="L111" s="307">
        <f ca="1">L112-L110-L109</f>
        <v>4672.7086107450741</v>
      </c>
      <c r="N111" t="s">
        <v>342</v>
      </c>
    </row>
    <row r="112" spans="3:18" x14ac:dyDescent="0.25">
      <c r="C112" s="299" t="s">
        <v>328</v>
      </c>
      <c r="D112" s="53"/>
      <c r="E112" s="53">
        <f t="shared" ref="E112:L112" si="47">E50</f>
        <v>18177</v>
      </c>
      <c r="F112" s="53">
        <f t="shared" si="47"/>
        <v>22283</v>
      </c>
      <c r="G112" s="53">
        <f t="shared" si="47"/>
        <v>32978</v>
      </c>
      <c r="H112" s="53">
        <f t="shared" ca="1" si="47"/>
        <v>34956.68</v>
      </c>
      <c r="I112" s="53">
        <f t="shared" ca="1" si="47"/>
        <v>37368.690920000001</v>
      </c>
      <c r="J112" s="53">
        <f t="shared" ca="1" si="47"/>
        <v>39947.130593479997</v>
      </c>
      <c r="K112" s="53">
        <f t="shared" ca="1" si="47"/>
        <v>42703.482604430115</v>
      </c>
      <c r="L112" s="53">
        <f t="shared" ca="1" si="47"/>
        <v>45650.022904135789</v>
      </c>
      <c r="N112" t="s">
        <v>343</v>
      </c>
    </row>
    <row r="113" spans="3:18" x14ac:dyDescent="0.25">
      <c r="C113" s="54"/>
      <c r="D113" s="54"/>
      <c r="F113" s="56"/>
      <c r="G113" s="56"/>
      <c r="I113" s="56"/>
      <c r="J113" s="56"/>
      <c r="K113" s="56"/>
      <c r="L113" s="56"/>
    </row>
    <row r="114" spans="3:18" x14ac:dyDescent="0.25">
      <c r="C114" s="308" t="s">
        <v>344</v>
      </c>
      <c r="D114" s="308"/>
      <c r="E114" s="304"/>
      <c r="F114" s="304"/>
      <c r="G114" s="304"/>
      <c r="H114" s="193"/>
      <c r="I114" s="193"/>
      <c r="J114" s="193"/>
      <c r="K114" s="193"/>
      <c r="L114" s="193"/>
    </row>
    <row r="115" spans="3:18" x14ac:dyDescent="0.25">
      <c r="C115" s="122" t="s">
        <v>322</v>
      </c>
      <c r="D115" s="122"/>
      <c r="H115" s="56">
        <f>G119</f>
        <v>45898</v>
      </c>
      <c r="I115" s="56">
        <f ca="1">H119</f>
        <v>22017.276020006655</v>
      </c>
      <c r="J115" s="56">
        <f ca="1">I119</f>
        <v>855.77386828267481</v>
      </c>
      <c r="K115" s="56">
        <f ca="1">J119</f>
        <v>-17330.39862502797</v>
      </c>
      <c r="L115" s="56">
        <f ca="1">K119</f>
        <v>-32270.713270567998</v>
      </c>
      <c r="N115" t="s">
        <v>323</v>
      </c>
    </row>
    <row r="116" spans="3:18" x14ac:dyDescent="0.25">
      <c r="C116" s="54" t="s">
        <v>345</v>
      </c>
      <c r="D116" s="100">
        <f t="shared" ref="D116:L116" si="48">D28</f>
        <v>45687</v>
      </c>
      <c r="E116" s="100">
        <f t="shared" si="48"/>
        <v>48351</v>
      </c>
      <c r="F116" s="100">
        <f t="shared" si="48"/>
        <v>59531</v>
      </c>
      <c r="G116" s="100">
        <f t="shared" si="48"/>
        <v>55256</v>
      </c>
      <c r="H116" s="56">
        <f t="shared" ca="1" si="48"/>
        <v>58068.411791803133</v>
      </c>
      <c r="I116" s="56">
        <f t="shared" ca="1" si="48"/>
        <v>61721.810321792007</v>
      </c>
      <c r="J116" s="56">
        <f t="shared" ca="1" si="48"/>
        <v>65719.301400773867</v>
      </c>
      <c r="K116" s="56">
        <f t="shared" ca="1" si="48"/>
        <v>70080.259438958354</v>
      </c>
      <c r="L116" s="56">
        <f t="shared" ca="1" si="48"/>
        <v>74831.34720758551</v>
      </c>
      <c r="N116" t="s">
        <v>346</v>
      </c>
    </row>
    <row r="117" spans="3:18" x14ac:dyDescent="0.25">
      <c r="C117" s="54" t="s">
        <v>347</v>
      </c>
      <c r="D117" s="97">
        <v>-12188</v>
      </c>
      <c r="E117" s="97">
        <v>-12803</v>
      </c>
      <c r="F117" s="97">
        <v>-13735</v>
      </c>
      <c r="G117" s="97">
        <v>-14129</v>
      </c>
      <c r="H117" s="56">
        <f ca="1">H116*G117/G116</f>
        <v>-14848.135771796482</v>
      </c>
      <c r="I117" s="56">
        <f t="shared" ref="I117:L117" ca="1" si="49">I116*H117/H116</f>
        <v>-15782.312473515985</v>
      </c>
      <c r="J117" s="56">
        <f t="shared" ca="1" si="49"/>
        <v>-16804.473894084516</v>
      </c>
      <c r="K117" s="56">
        <f t="shared" ca="1" si="49"/>
        <v>-17919.574084498385</v>
      </c>
      <c r="L117" s="56">
        <f t="shared" ca="1" si="49"/>
        <v>-19134.430735050959</v>
      </c>
      <c r="N117" t="s">
        <v>348</v>
      </c>
    </row>
    <row r="118" spans="3:18" x14ac:dyDescent="0.25">
      <c r="C118" s="306" t="s">
        <v>349</v>
      </c>
      <c r="D118" s="297">
        <v>-29000</v>
      </c>
      <c r="E118" s="297">
        <v>-33001</v>
      </c>
      <c r="F118" s="297">
        <v>-73056</v>
      </c>
      <c r="G118" s="297">
        <v>-67101</v>
      </c>
      <c r="H118" s="298">
        <f>G118</f>
        <v>-67101</v>
      </c>
      <c r="I118" s="298">
        <f t="shared" ref="I118:L118" si="50">H118</f>
        <v>-67101</v>
      </c>
      <c r="J118" s="298">
        <f t="shared" si="50"/>
        <v>-67101</v>
      </c>
      <c r="K118" s="298">
        <f t="shared" si="50"/>
        <v>-67101</v>
      </c>
      <c r="L118" s="298">
        <f t="shared" si="50"/>
        <v>-67101</v>
      </c>
      <c r="N118" t="s">
        <v>350</v>
      </c>
    </row>
    <row r="119" spans="3:18" x14ac:dyDescent="0.25">
      <c r="C119" s="299" t="s">
        <v>328</v>
      </c>
      <c r="D119" s="284">
        <f>D62</f>
        <v>0</v>
      </c>
      <c r="E119" s="284">
        <f>E62</f>
        <v>98330</v>
      </c>
      <c r="F119" s="284">
        <f>F62</f>
        <v>70400</v>
      </c>
      <c r="G119" s="284">
        <f>G62</f>
        <v>45898</v>
      </c>
      <c r="H119" s="53">
        <f ca="1">SUM(H115:H118)</f>
        <v>22017.276020006655</v>
      </c>
      <c r="I119" s="53">
        <f ca="1">SUM(I115:I118)</f>
        <v>855.77386828267481</v>
      </c>
      <c r="J119" s="53">
        <f ca="1">SUM(J115:J118)</f>
        <v>-17330.39862502797</v>
      </c>
      <c r="K119" s="53">
        <f ca="1">SUM(K115:K118)</f>
        <v>-32270.713270567998</v>
      </c>
      <c r="L119" s="53">
        <f ca="1">SUM(L115:L118)</f>
        <v>-43674.796798033451</v>
      </c>
      <c r="N119" t="s">
        <v>351</v>
      </c>
    </row>
    <row r="120" spans="3:18" x14ac:dyDescent="0.25">
      <c r="F120" s="44"/>
      <c r="G120" s="44"/>
    </row>
    <row r="121" spans="3:18" x14ac:dyDescent="0.25">
      <c r="C121" s="230" t="s">
        <v>352</v>
      </c>
      <c r="D121" s="230"/>
      <c r="E121" s="193"/>
      <c r="F121" s="193"/>
      <c r="G121" s="193"/>
      <c r="H121" s="193"/>
      <c r="I121" s="193"/>
      <c r="J121" s="193"/>
      <c r="K121" s="193"/>
      <c r="L121" s="193"/>
      <c r="P121" s="300"/>
      <c r="Q121" s="300"/>
    </row>
    <row r="122" spans="3:18" x14ac:dyDescent="0.25">
      <c r="C122" s="289" t="str">
        <f t="shared" ref="C122:L123" si="51">C14</f>
        <v xml:space="preserve">Fiscal year  </v>
      </c>
      <c r="D122" s="289"/>
      <c r="E122" s="290">
        <f t="shared" si="51"/>
        <v>2017</v>
      </c>
      <c r="F122" s="290">
        <f t="shared" si="51"/>
        <v>2018</v>
      </c>
      <c r="G122" s="290">
        <f t="shared" si="51"/>
        <v>2019</v>
      </c>
      <c r="H122" s="291">
        <f t="shared" si="51"/>
        <v>2020</v>
      </c>
      <c r="I122" s="291">
        <f t="shared" si="51"/>
        <v>2021</v>
      </c>
      <c r="J122" s="291">
        <f t="shared" si="51"/>
        <v>2022</v>
      </c>
      <c r="K122" s="291">
        <f t="shared" si="51"/>
        <v>2023</v>
      </c>
      <c r="L122" s="291">
        <f>L14</f>
        <v>2024</v>
      </c>
      <c r="P122" s="300"/>
      <c r="Q122" s="300"/>
    </row>
    <row r="123" spans="3:18" x14ac:dyDescent="0.25">
      <c r="C123" s="193" t="str">
        <f t="shared" si="51"/>
        <v>Fiscal year end date</v>
      </c>
      <c r="D123" s="193"/>
      <c r="E123" s="292">
        <f t="shared" si="51"/>
        <v>43008</v>
      </c>
      <c r="F123" s="292">
        <f t="shared" si="51"/>
        <v>43372</v>
      </c>
      <c r="G123" s="292">
        <f t="shared" si="51"/>
        <v>43737</v>
      </c>
      <c r="H123" s="292">
        <f t="shared" si="51"/>
        <v>44104</v>
      </c>
      <c r="I123" s="292">
        <f t="shared" si="51"/>
        <v>44469</v>
      </c>
      <c r="J123" s="292">
        <f t="shared" si="51"/>
        <v>44834</v>
      </c>
      <c r="K123" s="292">
        <f t="shared" si="51"/>
        <v>45199</v>
      </c>
      <c r="L123" s="292">
        <f t="shared" si="51"/>
        <v>45565</v>
      </c>
      <c r="P123" s="300"/>
      <c r="Q123" s="300"/>
    </row>
    <row r="124" spans="3:18" x14ac:dyDescent="0.25">
      <c r="C124" s="11"/>
      <c r="D124" s="11"/>
      <c r="P124" s="300"/>
      <c r="Q124" s="300"/>
    </row>
    <row r="125" spans="3:18" x14ac:dyDescent="0.25">
      <c r="C125" s="30" t="s">
        <v>353</v>
      </c>
      <c r="D125" s="30"/>
      <c r="P125" s="300"/>
      <c r="Q125" s="300"/>
      <c r="R125" s="300"/>
    </row>
    <row r="126" spans="3:18" x14ac:dyDescent="0.25">
      <c r="C126" s="54" t="s">
        <v>354</v>
      </c>
      <c r="D126" s="54"/>
      <c r="H126" s="56">
        <f>G45</f>
        <v>205898</v>
      </c>
      <c r="I126" s="56">
        <f ca="1">H45</f>
        <v>194727.25772280112</v>
      </c>
      <c r="J126" s="56">
        <f ca="1">I45</f>
        <v>181481.27399546286</v>
      </c>
      <c r="K126" s="56">
        <f ca="1">J45</f>
        <v>172039.83709702062</v>
      </c>
      <c r="L126" s="56">
        <f ca="1">K45</f>
        <v>166750.2214031397</v>
      </c>
      <c r="N126" t="s">
        <v>355</v>
      </c>
      <c r="P126" s="300"/>
      <c r="Q126" s="300"/>
    </row>
    <row r="127" spans="3:18" x14ac:dyDescent="0.25">
      <c r="C127" s="54" t="s">
        <v>356</v>
      </c>
      <c r="D127" s="54"/>
      <c r="H127" s="97">
        <v>-50000</v>
      </c>
      <c r="I127" s="97">
        <v>-50000</v>
      </c>
      <c r="J127" s="97">
        <v>-50000</v>
      </c>
      <c r="K127" s="97">
        <v>-50000</v>
      </c>
      <c r="L127" s="97">
        <v>-50000</v>
      </c>
      <c r="N127" t="s">
        <v>357</v>
      </c>
      <c r="P127" s="300"/>
      <c r="Q127" s="300"/>
    </row>
    <row r="128" spans="3:18" x14ac:dyDescent="0.25">
      <c r="C128" s="306" t="s">
        <v>358</v>
      </c>
      <c r="D128" s="306"/>
      <c r="E128" s="71"/>
      <c r="F128" s="71"/>
      <c r="G128" s="71"/>
      <c r="H128" s="298">
        <f ca="1">SUM(H79,H82,H84,H86,H87)</f>
        <v>-17190.74227719886</v>
      </c>
      <c r="I128" s="298">
        <f ca="1">SUM(I79,I82,I84,I86,I87)</f>
        <v>-13245.983727338249</v>
      </c>
      <c r="J128" s="298">
        <f ca="1">SUM(J79,J82,J84,J86,J87)</f>
        <v>-9441.4368984422508</v>
      </c>
      <c r="K128" s="298">
        <f ca="1">SUM(K79,K82,K84,K86,K87)</f>
        <v>-5289.6156938809327</v>
      </c>
      <c r="L128" s="298">
        <f ca="1">SUM(L79,L82,L84,L86,L87)</f>
        <v>-764.03196194569682</v>
      </c>
      <c r="N128" t="s">
        <v>359</v>
      </c>
    </row>
    <row r="129" spans="3:20" x14ac:dyDescent="0.25">
      <c r="C129" s="299" t="s">
        <v>360</v>
      </c>
      <c r="D129" s="299"/>
      <c r="H129" s="53">
        <f ca="1">SUM(H126:H128)</f>
        <v>138707.25772280115</v>
      </c>
      <c r="I129" s="53">
        <f ca="1">SUM(I126:I128)</f>
        <v>131481.27399546286</v>
      </c>
      <c r="J129" s="53">
        <f ca="1">SUM(J126:J128)</f>
        <v>122039.83709702062</v>
      </c>
      <c r="K129" s="53">
        <f ca="1">SUM(K126:K128)</f>
        <v>116750.22140313969</v>
      </c>
      <c r="L129" s="53">
        <f ca="1">SUM(L126:L128)</f>
        <v>115986.189441194</v>
      </c>
    </row>
    <row r="131" spans="3:20" x14ac:dyDescent="0.25">
      <c r="C131" s="11" t="s">
        <v>361</v>
      </c>
      <c r="D131" s="11"/>
    </row>
    <row r="132" spans="3:20" x14ac:dyDescent="0.25">
      <c r="C132" s="54" t="s">
        <v>322</v>
      </c>
      <c r="D132" s="54"/>
      <c r="H132" s="56">
        <f>G135</f>
        <v>5980</v>
      </c>
      <c r="I132" s="56">
        <f ca="1">H135</f>
        <v>12000</v>
      </c>
      <c r="J132" s="56">
        <f ca="1">I135</f>
        <v>12000</v>
      </c>
      <c r="K132" s="56">
        <f ca="1">J135</f>
        <v>12000</v>
      </c>
      <c r="L132" s="56">
        <f ca="1">K135</f>
        <v>12000</v>
      </c>
      <c r="N132" t="s">
        <v>323</v>
      </c>
    </row>
    <row r="133" spans="3:20" x14ac:dyDescent="0.25">
      <c r="C133" s="295" t="s">
        <v>362</v>
      </c>
      <c r="D133" s="295"/>
      <c r="H133" s="56">
        <f ca="1">-MIN(H129,H132)</f>
        <v>-5980</v>
      </c>
      <c r="I133" s="56">
        <f ca="1">-MIN(I129,I132)</f>
        <v>-12000</v>
      </c>
      <c r="J133" s="56">
        <f ca="1">-MIN(J129,J132)</f>
        <v>-12000</v>
      </c>
      <c r="K133" s="56">
        <f ca="1">-MIN(K129,K132)</f>
        <v>-12000</v>
      </c>
      <c r="L133" s="56">
        <f ca="1">-MIN(L129,L132)</f>
        <v>-12000</v>
      </c>
      <c r="N133" t="s">
        <v>363</v>
      </c>
    </row>
    <row r="134" spans="3:20" x14ac:dyDescent="0.25">
      <c r="C134" s="296" t="s">
        <v>364</v>
      </c>
      <c r="D134" s="296"/>
      <c r="E134" s="71"/>
      <c r="F134" s="71"/>
      <c r="G134" s="71"/>
      <c r="H134" s="297">
        <v>12000</v>
      </c>
      <c r="I134" s="297">
        <v>12000</v>
      </c>
      <c r="J134" s="297">
        <v>12000</v>
      </c>
      <c r="K134" s="297">
        <v>12000</v>
      </c>
      <c r="L134" s="297">
        <v>12000</v>
      </c>
      <c r="N134" t="s">
        <v>357</v>
      </c>
    </row>
    <row r="135" spans="3:20" x14ac:dyDescent="0.25">
      <c r="C135" s="54" t="s">
        <v>328</v>
      </c>
      <c r="D135" s="298"/>
      <c r="E135" s="298">
        <f>E56</f>
        <v>11977</v>
      </c>
      <c r="F135" s="298">
        <f>F56</f>
        <v>11964</v>
      </c>
      <c r="G135" s="298">
        <f>G56</f>
        <v>5980</v>
      </c>
      <c r="H135" s="309">
        <f ca="1">SUM(H132:H134)</f>
        <v>12000</v>
      </c>
      <c r="I135" s="309">
        <f ca="1">SUM(I132:I134)</f>
        <v>12000</v>
      </c>
      <c r="J135" s="309">
        <f ca="1">SUM(J132:J134)</f>
        <v>12000</v>
      </c>
      <c r="K135" s="309">
        <f ca="1">SUM(K132:K134)</f>
        <v>12000</v>
      </c>
      <c r="L135" s="309">
        <f ca="1">SUM(L132:L134)</f>
        <v>12000</v>
      </c>
    </row>
    <row r="136" spans="3:20" x14ac:dyDescent="0.25">
      <c r="C136" s="310" t="s">
        <v>365</v>
      </c>
      <c r="D136" s="311"/>
      <c r="E136" s="312"/>
      <c r="F136" s="312"/>
      <c r="G136" s="313"/>
      <c r="H136" s="314" t="str">
        <f ca="1">IF(H135&lt;0,"Negative Debt","OK")</f>
        <v>OK</v>
      </c>
      <c r="I136" s="314" t="str">
        <f ca="1">IF(I135&lt;0,"Negative Debt","OK")</f>
        <v>OK</v>
      </c>
      <c r="J136" s="314" t="str">
        <f ca="1">IF(J135&lt;0,"Negative Debt","OK")</f>
        <v>OK</v>
      </c>
      <c r="K136" s="314" t="str">
        <f ca="1">IF(K135&lt;0,"Negative Debt","OK")</f>
        <v>OK</v>
      </c>
      <c r="L136" s="314" t="str">
        <f ca="1">IF(L135&lt;0,"Negative Debt","OK")</f>
        <v>OK</v>
      </c>
      <c r="T136" s="44"/>
    </row>
    <row r="137" spans="3:20" x14ac:dyDescent="0.25">
      <c r="E137" s="56"/>
      <c r="F137" s="56"/>
      <c r="G137" s="315"/>
      <c r="H137" s="316"/>
      <c r="I137" s="316"/>
      <c r="J137" s="316"/>
      <c r="K137" s="316"/>
      <c r="L137" s="316"/>
      <c r="T137" s="44"/>
    </row>
    <row r="138" spans="3:20" x14ac:dyDescent="0.25">
      <c r="C138" s="230" t="s">
        <v>366</v>
      </c>
      <c r="D138" s="230"/>
      <c r="E138" s="302"/>
      <c r="F138" s="302"/>
      <c r="G138" s="302"/>
      <c r="H138" s="317"/>
      <c r="I138" s="317"/>
      <c r="J138" s="317"/>
      <c r="K138" s="317"/>
      <c r="L138" s="317"/>
      <c r="S138" s="318"/>
    </row>
    <row r="139" spans="3:20" x14ac:dyDescent="0.25">
      <c r="C139" s="289" t="str">
        <f t="shared" ref="C139:L140" si="52">C14</f>
        <v xml:space="preserve">Fiscal year  </v>
      </c>
      <c r="D139" s="289"/>
      <c r="E139" s="290">
        <f t="shared" si="52"/>
        <v>2017</v>
      </c>
      <c r="F139" s="290">
        <f t="shared" si="52"/>
        <v>2018</v>
      </c>
      <c r="G139" s="290">
        <f t="shared" si="52"/>
        <v>2019</v>
      </c>
      <c r="H139" s="291">
        <f t="shared" si="52"/>
        <v>2020</v>
      </c>
      <c r="I139" s="291">
        <f t="shared" si="52"/>
        <v>2021</v>
      </c>
      <c r="J139" s="291">
        <f t="shared" si="52"/>
        <v>2022</v>
      </c>
      <c r="K139" s="291">
        <f t="shared" si="52"/>
        <v>2023</v>
      </c>
      <c r="L139" s="291">
        <f t="shared" si="52"/>
        <v>2024</v>
      </c>
      <c r="S139" s="318"/>
      <c r="T139" s="44"/>
    </row>
    <row r="140" spans="3:20" x14ac:dyDescent="0.25">
      <c r="C140" s="193" t="str">
        <f t="shared" si="52"/>
        <v>Fiscal year end date</v>
      </c>
      <c r="D140" s="193"/>
      <c r="E140" s="292">
        <f t="shared" si="52"/>
        <v>43008</v>
      </c>
      <c r="F140" s="292">
        <f t="shared" si="52"/>
        <v>43372</v>
      </c>
      <c r="G140" s="292">
        <f t="shared" si="52"/>
        <v>43737</v>
      </c>
      <c r="H140" s="292">
        <f t="shared" si="52"/>
        <v>44104</v>
      </c>
      <c r="I140" s="292">
        <f t="shared" si="52"/>
        <v>44469</v>
      </c>
      <c r="J140" s="292">
        <f t="shared" si="52"/>
        <v>44834</v>
      </c>
      <c r="K140" s="292">
        <f t="shared" si="52"/>
        <v>45199</v>
      </c>
      <c r="L140" s="292">
        <f t="shared" si="52"/>
        <v>45565</v>
      </c>
      <c r="S140" s="318"/>
    </row>
    <row r="141" spans="3:20" x14ac:dyDescent="0.25">
      <c r="C141" s="54"/>
      <c r="D141" s="54"/>
      <c r="E141" s="56"/>
      <c r="F141" s="56"/>
      <c r="G141" s="56"/>
      <c r="H141" s="319"/>
      <c r="I141" s="319"/>
      <c r="J141" s="319"/>
      <c r="K141" s="319"/>
      <c r="L141" s="319"/>
      <c r="S141" s="318"/>
    </row>
    <row r="142" spans="3:20" x14ac:dyDescent="0.25">
      <c r="C142" s="122" t="s">
        <v>367</v>
      </c>
      <c r="D142" s="56">
        <f t="shared" ref="D142" si="53">-(D24)</f>
        <v>1456</v>
      </c>
      <c r="E142" s="56">
        <f>-(E24)</f>
        <v>2323</v>
      </c>
      <c r="F142" s="56">
        <f>-(F24)</f>
        <v>3240</v>
      </c>
      <c r="G142" s="56">
        <f>-(G24)</f>
        <v>3576</v>
      </c>
      <c r="H142" s="56">
        <f ca="1">H147+H152</f>
        <v>3568.9466179543074</v>
      </c>
      <c r="I142" s="56">
        <f ca="1">I147+I152</f>
        <v>3636.3706179543074</v>
      </c>
      <c r="J142" s="56">
        <f ca="1">J147+J152</f>
        <v>3636.3706179543074</v>
      </c>
      <c r="K142" s="56">
        <f ca="1">K147+K152</f>
        <v>3636.3706179543074</v>
      </c>
      <c r="L142" s="56">
        <f ca="1">L147+L152</f>
        <v>3636.3706179543074</v>
      </c>
      <c r="N142" t="s">
        <v>368</v>
      </c>
      <c r="S142" s="44"/>
    </row>
    <row r="143" spans="3:20" x14ac:dyDescent="0.25">
      <c r="C143" s="320"/>
      <c r="D143" s="320"/>
      <c r="S143" s="44"/>
    </row>
    <row r="144" spans="3:20" x14ac:dyDescent="0.25">
      <c r="C144" s="321" t="s">
        <v>369</v>
      </c>
      <c r="D144" s="321"/>
      <c r="S144" s="44"/>
    </row>
    <row r="145" spans="3:19" x14ac:dyDescent="0.25">
      <c r="C145" s="54" t="s">
        <v>370</v>
      </c>
      <c r="D145" s="54"/>
      <c r="E145" s="322">
        <v>1.2E-2</v>
      </c>
      <c r="F145" s="322">
        <v>2.18E-2</v>
      </c>
      <c r="G145" s="322">
        <v>2.24E-2</v>
      </c>
      <c r="H145" s="323">
        <f>G145</f>
        <v>2.24E-2</v>
      </c>
      <c r="I145" s="323">
        <f>H145</f>
        <v>2.24E-2</v>
      </c>
      <c r="J145" s="323">
        <f>I145</f>
        <v>2.24E-2</v>
      </c>
      <c r="K145" s="323">
        <f>J145</f>
        <v>2.24E-2</v>
      </c>
      <c r="L145" s="323">
        <f>K145</f>
        <v>2.24E-2</v>
      </c>
      <c r="N145" t="s">
        <v>371</v>
      </c>
    </row>
    <row r="146" spans="3:19" x14ac:dyDescent="0.25">
      <c r="C146" s="54" t="s">
        <v>372</v>
      </c>
      <c r="D146" s="306"/>
      <c r="E146" s="298">
        <f t="shared" ref="E146:L146" si="54">E56</f>
        <v>11977</v>
      </c>
      <c r="F146" s="298">
        <f t="shared" si="54"/>
        <v>11964</v>
      </c>
      <c r="G146" s="298">
        <f t="shared" si="54"/>
        <v>5980</v>
      </c>
      <c r="H146" s="56">
        <f t="shared" ca="1" si="54"/>
        <v>12000</v>
      </c>
      <c r="I146" s="56">
        <f t="shared" ca="1" si="54"/>
        <v>12000</v>
      </c>
      <c r="J146" s="56">
        <f t="shared" ca="1" si="54"/>
        <v>12000</v>
      </c>
      <c r="K146" s="56">
        <f t="shared" ca="1" si="54"/>
        <v>12000</v>
      </c>
      <c r="L146" s="56">
        <f t="shared" ca="1" si="54"/>
        <v>12000</v>
      </c>
      <c r="N146" t="s">
        <v>373</v>
      </c>
    </row>
    <row r="147" spans="3:19" x14ac:dyDescent="0.25">
      <c r="C147" s="324" t="s">
        <v>374</v>
      </c>
      <c r="D147" s="325"/>
      <c r="E147" s="53">
        <f>AVERAGE(D146:E146)*E145</f>
        <v>143.72399999999999</v>
      </c>
      <c r="F147" s="53">
        <f>AVERAGE(E146:F146)*F145</f>
        <v>260.95690000000002</v>
      </c>
      <c r="G147" s="53">
        <f>AVERAGE(F146:G146)*G145</f>
        <v>200.97280000000001</v>
      </c>
      <c r="H147" s="326">
        <f ca="1">IF($D$7=1,AVERAGE(G146,H146)*H145,0)</f>
        <v>201.376</v>
      </c>
      <c r="I147" s="326">
        <f t="shared" ref="I147:L147" ca="1" si="55">IF($D$7=1,AVERAGE(H146,I146)*I145,0)</f>
        <v>268.8</v>
      </c>
      <c r="J147" s="326">
        <f t="shared" ca="1" si="55"/>
        <v>268.8</v>
      </c>
      <c r="K147" s="326">
        <f t="shared" ca="1" si="55"/>
        <v>268.8</v>
      </c>
      <c r="L147" s="326">
        <f t="shared" ca="1" si="55"/>
        <v>268.8</v>
      </c>
      <c r="N147" t="s">
        <v>375</v>
      </c>
    </row>
    <row r="148" spans="3:19" x14ac:dyDescent="0.25">
      <c r="C148" s="327"/>
      <c r="D148" s="327"/>
      <c r="E148" s="56"/>
      <c r="F148" s="56"/>
      <c r="G148" s="56"/>
    </row>
    <row r="149" spans="3:19" x14ac:dyDescent="0.25">
      <c r="C149" s="321" t="s">
        <v>314</v>
      </c>
      <c r="D149" s="321"/>
      <c r="E149" s="56"/>
      <c r="F149" s="56"/>
      <c r="G149" s="56"/>
    </row>
    <row r="150" spans="3:19" x14ac:dyDescent="0.25">
      <c r="C150" s="54" t="s">
        <v>372</v>
      </c>
      <c r="D150" s="54"/>
      <c r="E150" s="56">
        <f t="shared" ref="E150:L150" si="56">E57</f>
        <v>103703</v>
      </c>
      <c r="F150" s="56">
        <f t="shared" si="56"/>
        <v>102519</v>
      </c>
      <c r="G150" s="56">
        <f t="shared" si="56"/>
        <v>102067</v>
      </c>
      <c r="H150" s="56">
        <f t="shared" si="56"/>
        <v>102067</v>
      </c>
      <c r="I150" s="56">
        <f t="shared" si="56"/>
        <v>102067</v>
      </c>
      <c r="J150" s="56">
        <f t="shared" si="56"/>
        <v>102067</v>
      </c>
      <c r="K150" s="56">
        <f t="shared" si="56"/>
        <v>102067</v>
      </c>
      <c r="L150" s="56">
        <f t="shared" si="56"/>
        <v>102067</v>
      </c>
      <c r="N150" t="s">
        <v>316</v>
      </c>
    </row>
    <row r="151" spans="3:19" x14ac:dyDescent="0.25">
      <c r="C151" s="54" t="s">
        <v>370</v>
      </c>
      <c r="D151" s="54"/>
      <c r="E151" s="92">
        <f t="shared" ref="E151:F151" si="57">E152/AVERAGE(D150:E150)</f>
        <v>2.101458974185896E-2</v>
      </c>
      <c r="F151" s="92">
        <f t="shared" si="57"/>
        <v>2.8891612921996681E-2</v>
      </c>
      <c r="G151" s="92">
        <f>G152/AVERAGE(F150:G150)</f>
        <v>3.2993725865895024E-2</v>
      </c>
      <c r="H151" s="328">
        <f>G151</f>
        <v>3.2993725865895024E-2</v>
      </c>
      <c r="I151" s="328">
        <f>H151</f>
        <v>3.2993725865895024E-2</v>
      </c>
      <c r="J151" s="328">
        <f>I151</f>
        <v>3.2993725865895024E-2</v>
      </c>
      <c r="K151" s="328">
        <f>J151</f>
        <v>3.2993725865895024E-2</v>
      </c>
      <c r="L151" s="328">
        <f>K151</f>
        <v>3.2993725865895024E-2</v>
      </c>
      <c r="N151" t="s">
        <v>371</v>
      </c>
      <c r="S151" s="318"/>
    </row>
    <row r="152" spans="3:19" x14ac:dyDescent="0.25">
      <c r="C152" s="299" t="s">
        <v>376</v>
      </c>
      <c r="D152" s="299"/>
      <c r="E152" s="53">
        <f t="shared" ref="E152" si="58">E142-E147</f>
        <v>2179.2759999999998</v>
      </c>
      <c r="F152" s="53">
        <f>F142-F147</f>
        <v>2979.0430999999999</v>
      </c>
      <c r="G152" s="53">
        <f>G142-G147</f>
        <v>3375.0272</v>
      </c>
      <c r="H152" s="284">
        <f>H151*AVERAGE(G150:H150)</f>
        <v>3367.5706179543072</v>
      </c>
      <c r="I152" s="284">
        <f>I151*AVERAGE(H150:I150)</f>
        <v>3367.5706179543072</v>
      </c>
      <c r="J152" s="284">
        <f>J151*AVERAGE(I150:J150)</f>
        <v>3367.5706179543072</v>
      </c>
      <c r="K152" s="284">
        <f>K151*AVERAGE(J150:K150)</f>
        <v>3367.5706179543072</v>
      </c>
      <c r="L152" s="284">
        <f>L151*AVERAGE(K150:L150)</f>
        <v>3367.5706179543072</v>
      </c>
      <c r="N152" t="s">
        <v>377</v>
      </c>
    </row>
    <row r="153" spans="3:19" x14ac:dyDescent="0.25">
      <c r="F153" s="56"/>
    </row>
    <row r="154" spans="3:19" x14ac:dyDescent="0.25">
      <c r="C154" s="320" t="s">
        <v>378</v>
      </c>
      <c r="D154" s="320"/>
      <c r="F154" s="56"/>
      <c r="G154" s="56"/>
    </row>
    <row r="155" spans="3:19" ht="15" customHeight="1" x14ac:dyDescent="0.25">
      <c r="C155" s="54" t="s">
        <v>379</v>
      </c>
      <c r="D155" s="240">
        <v>1.7299999999999999E-2</v>
      </c>
      <c r="E155" s="322">
        <v>1.9900000000000001E-2</v>
      </c>
      <c r="F155" s="322">
        <v>2.1600000000000001E-2</v>
      </c>
      <c r="G155" s="322">
        <v>2.1899999999999999E-2</v>
      </c>
      <c r="H155" s="242">
        <f>G155</f>
        <v>2.1899999999999999E-2</v>
      </c>
      <c r="I155" s="242">
        <f>H155</f>
        <v>2.1899999999999999E-2</v>
      </c>
      <c r="J155" s="242">
        <f>I155</f>
        <v>2.1899999999999999E-2</v>
      </c>
      <c r="K155" s="242">
        <f>J155</f>
        <v>2.1899999999999999E-2</v>
      </c>
      <c r="L155" s="242">
        <f>K155</f>
        <v>2.1899999999999999E-2</v>
      </c>
      <c r="N155" t="s">
        <v>371</v>
      </c>
    </row>
    <row r="156" spans="3:19" ht="15" customHeight="1" x14ac:dyDescent="0.25">
      <c r="C156" s="54" t="s">
        <v>254</v>
      </c>
      <c r="D156" s="56">
        <f>D23</f>
        <v>3999</v>
      </c>
      <c r="E156" s="56">
        <f>E23</f>
        <v>5201</v>
      </c>
      <c r="F156" s="56">
        <f>F23</f>
        <v>5686</v>
      </c>
      <c r="G156" s="56">
        <f>G23</f>
        <v>4961</v>
      </c>
      <c r="H156" s="100">
        <f ca="1">IF($D$7=1,AVERAGE(G45,H45)*H155,0)</f>
        <v>4386.8465720646718</v>
      </c>
      <c r="I156" s="100">
        <f t="shared" ref="I156:L156" ca="1" si="59">IF($D$7=1,AVERAGE(H45,I45)*I155,0)</f>
        <v>4119.4834223149901</v>
      </c>
      <c r="J156" s="100">
        <f t="shared" ca="1" si="59"/>
        <v>3871.0561664626944</v>
      </c>
      <c r="K156" s="100">
        <f t="shared" ca="1" si="59"/>
        <v>3709.7511405767555</v>
      </c>
      <c r="L156" s="100">
        <f t="shared" ca="1" si="59"/>
        <v>3643.4636987454537</v>
      </c>
      <c r="N156" t="s">
        <v>380</v>
      </c>
    </row>
    <row r="157" spans="3:19" x14ac:dyDescent="0.25">
      <c r="C157" s="329"/>
      <c r="D157" s="329"/>
      <c r="E157" s="92"/>
      <c r="F157" s="92"/>
      <c r="G157" s="92"/>
      <c r="H157" s="92"/>
      <c r="I157" s="92"/>
    </row>
    <row r="158" spans="3:19" x14ac:dyDescent="0.25">
      <c r="C158" s="230" t="s">
        <v>381</v>
      </c>
      <c r="D158" s="230"/>
      <c r="E158" s="230"/>
      <c r="F158" s="230"/>
      <c r="G158" s="230"/>
      <c r="H158" s="230"/>
      <c r="I158" s="230"/>
      <c r="J158" s="230"/>
      <c r="K158" s="230"/>
      <c r="L158" s="230"/>
    </row>
    <row r="159" spans="3:19" x14ac:dyDescent="0.25">
      <c r="C159" s="289"/>
      <c r="D159" s="290">
        <f t="shared" ref="D159:L160" si="60">D14</f>
        <v>2016</v>
      </c>
      <c r="E159" s="290">
        <f t="shared" si="60"/>
        <v>2017</v>
      </c>
      <c r="F159" s="290">
        <f t="shared" si="60"/>
        <v>2018</v>
      </c>
      <c r="G159" s="291">
        <f t="shared" si="60"/>
        <v>2019</v>
      </c>
      <c r="H159" s="291">
        <f t="shared" si="60"/>
        <v>2020</v>
      </c>
      <c r="I159" s="291">
        <f t="shared" si="60"/>
        <v>2021</v>
      </c>
      <c r="J159" s="291">
        <f t="shared" si="60"/>
        <v>2022</v>
      </c>
      <c r="K159" s="291">
        <f t="shared" si="60"/>
        <v>2023</v>
      </c>
      <c r="L159" s="291">
        <f>L14</f>
        <v>2024</v>
      </c>
    </row>
    <row r="160" spans="3:19" x14ac:dyDescent="0.25">
      <c r="C160" s="193"/>
      <c r="D160" s="292">
        <f t="shared" si="60"/>
        <v>42643</v>
      </c>
      <c r="E160" s="292">
        <f t="shared" si="60"/>
        <v>43008</v>
      </c>
      <c r="F160" s="292">
        <f t="shared" si="60"/>
        <v>43372</v>
      </c>
      <c r="G160" s="292">
        <f t="shared" si="60"/>
        <v>43737</v>
      </c>
      <c r="H160" s="292">
        <f t="shared" si="60"/>
        <v>44104</v>
      </c>
      <c r="I160" s="292">
        <f t="shared" si="60"/>
        <v>44469</v>
      </c>
      <c r="J160" s="292">
        <f t="shared" si="60"/>
        <v>44834</v>
      </c>
      <c r="K160" s="292">
        <f t="shared" si="60"/>
        <v>45199</v>
      </c>
      <c r="L160" s="292">
        <f t="shared" si="60"/>
        <v>45565</v>
      </c>
    </row>
    <row r="161" spans="3:14" x14ac:dyDescent="0.25">
      <c r="G161" s="57"/>
      <c r="H161" s="57"/>
      <c r="I161" s="57"/>
      <c r="J161" s="287"/>
      <c r="K161" s="287"/>
    </row>
    <row r="162" spans="3:14" x14ac:dyDescent="0.25">
      <c r="C162" t="s">
        <v>264</v>
      </c>
      <c r="D162" s="56">
        <f t="shared" ref="D162:F162" si="61">D28</f>
        <v>45687</v>
      </c>
      <c r="E162" s="56">
        <f t="shared" si="61"/>
        <v>48351</v>
      </c>
      <c r="F162" s="56">
        <f t="shared" si="61"/>
        <v>59531</v>
      </c>
      <c r="G162" s="56">
        <f>G28</f>
        <v>55256</v>
      </c>
      <c r="H162" s="56">
        <f t="shared" ref="H162:L162" ca="1" si="62">H28</f>
        <v>58068.411791803133</v>
      </c>
      <c r="I162" s="56">
        <f t="shared" ca="1" si="62"/>
        <v>61721.810321792007</v>
      </c>
      <c r="J162" s="56">
        <f t="shared" ca="1" si="62"/>
        <v>65719.301400773867</v>
      </c>
      <c r="K162" s="56">
        <f t="shared" ca="1" si="62"/>
        <v>70080.259438958354</v>
      </c>
      <c r="L162" s="56">
        <f t="shared" ca="1" si="62"/>
        <v>74831.34720758551</v>
      </c>
      <c r="N162" t="s">
        <v>382</v>
      </c>
    </row>
    <row r="163" spans="3:14" x14ac:dyDescent="0.25">
      <c r="C163" t="s">
        <v>383</v>
      </c>
      <c r="D163" s="97">
        <v>5470.82</v>
      </c>
      <c r="E163" s="97">
        <v>5217.2420000000002</v>
      </c>
      <c r="F163" s="97">
        <v>4955.3770000000004</v>
      </c>
      <c r="G163" s="97">
        <v>4617.8340000000007</v>
      </c>
      <c r="H163" s="56">
        <f ca="1">G163+(-H169+H170)/H171</f>
        <v>4415.6042666666672</v>
      </c>
      <c r="I163" s="56">
        <f t="shared" ref="I163:L163" ca="1" si="63">H163+(-I169+I170)/I171</f>
        <v>4226.7366003288953</v>
      </c>
      <c r="J163" s="56">
        <f t="shared" ca="1" si="63"/>
        <v>4050.7544851611069</v>
      </c>
      <c r="K163" s="56">
        <f t="shared" ca="1" si="63"/>
        <v>3887.1242032553955</v>
      </c>
      <c r="L163" s="56">
        <f t="shared" ca="1" si="63"/>
        <v>3735.285297408378</v>
      </c>
      <c r="N163" t="s">
        <v>384</v>
      </c>
    </row>
    <row r="164" spans="3:14" x14ac:dyDescent="0.25">
      <c r="C164" s="11" t="s">
        <v>385</v>
      </c>
      <c r="D164" s="330">
        <f t="shared" ref="D164:G164" si="64">D162/D163</f>
        <v>8.3510333003096431</v>
      </c>
      <c r="E164" s="330">
        <f t="shared" si="64"/>
        <v>9.2675402061088974</v>
      </c>
      <c r="F164" s="330">
        <f t="shared" si="64"/>
        <v>12.0134149228202</v>
      </c>
      <c r="G164" s="330">
        <f t="shared" si="64"/>
        <v>11.965783092246276</v>
      </c>
      <c r="H164" s="330">
        <f ca="1">H162/H163</f>
        <v>13.150728254830428</v>
      </c>
      <c r="I164" s="330">
        <f ca="1">I162/I163</f>
        <v>14.602710355073757</v>
      </c>
      <c r="J164" s="330">
        <f ca="1">J162/J163</f>
        <v>16.223965594932885</v>
      </c>
      <c r="K164" s="330">
        <f ca="1">K162/K163</f>
        <v>18.028819192416702</v>
      </c>
      <c r="L164" s="330">
        <f ca="1">L162/L163</f>
        <v>20.033636322105068</v>
      </c>
      <c r="N164" t="s">
        <v>386</v>
      </c>
    </row>
    <row r="165" spans="3:14" x14ac:dyDescent="0.25">
      <c r="E165" s="97"/>
      <c r="F165" s="97"/>
      <c r="G165" s="97"/>
      <c r="H165" s="56"/>
    </row>
    <row r="166" spans="3:14" x14ac:dyDescent="0.25">
      <c r="C166" t="s">
        <v>387</v>
      </c>
      <c r="D166" s="97">
        <v>5500.2809999999999</v>
      </c>
      <c r="E166" s="97">
        <v>5251.692</v>
      </c>
      <c r="F166" s="97">
        <v>5000.1090000000004</v>
      </c>
      <c r="G166" s="97">
        <v>4648.9129999999996</v>
      </c>
      <c r="H166" s="56">
        <f ca="1">H163+G166-G163</f>
        <v>4446.6832666666651</v>
      </c>
      <c r="I166" s="56">
        <f t="shared" ref="I166:L166" ca="1" si="65">I163+H166-H163</f>
        <v>4257.8156003288932</v>
      </c>
      <c r="J166" s="56">
        <f t="shared" ca="1" si="65"/>
        <v>4081.8334851611053</v>
      </c>
      <c r="K166" s="56">
        <f t="shared" ca="1" si="65"/>
        <v>3918.2032032553939</v>
      </c>
      <c r="L166" s="56">
        <f t="shared" ca="1" si="65"/>
        <v>3766.3642974083768</v>
      </c>
      <c r="N166" t="s">
        <v>388</v>
      </c>
    </row>
    <row r="167" spans="3:14" x14ac:dyDescent="0.25">
      <c r="C167" s="11" t="s">
        <v>389</v>
      </c>
      <c r="D167" s="330">
        <f>D162/D166</f>
        <v>8.3063028961611227</v>
      </c>
      <c r="E167" s="330">
        <f t="shared" ref="E167:G167" si="66">E162/E166</f>
        <v>9.2067470826545037</v>
      </c>
      <c r="F167" s="330">
        <f t="shared" si="66"/>
        <v>11.905940450498179</v>
      </c>
      <c r="G167" s="330">
        <f t="shared" si="66"/>
        <v>11.885789215672569</v>
      </c>
      <c r="H167" s="330">
        <f ca="1">H162/H166</f>
        <v>13.058814471248036</v>
      </c>
      <c r="I167" s="330">
        <f ca="1">I162/I166</f>
        <v>14.496121043152815</v>
      </c>
      <c r="J167" s="330">
        <f ca="1">J162/J166</f>
        <v>16.100436639487267</v>
      </c>
      <c r="K167" s="330">
        <f ca="1">K162/K166</f>
        <v>17.885815462743988</v>
      </c>
      <c r="L167" s="330">
        <f ca="1">L162/L166</f>
        <v>19.868324277361253</v>
      </c>
      <c r="N167" t="s">
        <v>390</v>
      </c>
    </row>
    <row r="168" spans="3:14" x14ac:dyDescent="0.25">
      <c r="H168" s="331"/>
    </row>
    <row r="169" spans="3:14" x14ac:dyDescent="0.25">
      <c r="C169" t="s">
        <v>391</v>
      </c>
      <c r="H169" s="56">
        <f>-(H86)</f>
        <v>67101</v>
      </c>
      <c r="I169" s="56">
        <f t="shared" ref="I169:L169" si="67">-(I86)</f>
        <v>67101</v>
      </c>
      <c r="J169" s="56">
        <f t="shared" si="67"/>
        <v>67101</v>
      </c>
      <c r="K169" s="56">
        <f t="shared" si="67"/>
        <v>67101</v>
      </c>
      <c r="L169" s="56">
        <f t="shared" si="67"/>
        <v>67101</v>
      </c>
      <c r="N169" t="s">
        <v>392</v>
      </c>
    </row>
    <row r="170" spans="3:14" x14ac:dyDescent="0.25">
      <c r="C170" t="s">
        <v>393</v>
      </c>
      <c r="H170" s="100">
        <f ca="1">H32</f>
        <v>6432.08</v>
      </c>
      <c r="I170" s="100">
        <f t="shared" ref="I170:L170" ca="1" si="68">I32</f>
        <v>6875.8935199999996</v>
      </c>
      <c r="J170" s="100">
        <f t="shared" ca="1" si="68"/>
        <v>7350.3301728799988</v>
      </c>
      <c r="K170" s="100">
        <f t="shared" ca="1" si="68"/>
        <v>7857.5029548087186</v>
      </c>
      <c r="L170" s="100">
        <f t="shared" ca="1" si="68"/>
        <v>8399.6706586905202</v>
      </c>
      <c r="N170" t="s">
        <v>394</v>
      </c>
    </row>
    <row r="171" spans="3:14" x14ac:dyDescent="0.25">
      <c r="C171" t="s">
        <v>395</v>
      </c>
      <c r="H171" s="332">
        <v>300</v>
      </c>
      <c r="I171" s="331">
        <f ca="1">H171*(1+I172)</f>
        <v>318.87462606909759</v>
      </c>
      <c r="J171" s="331">
        <f ca="1">I171*(1+J172)</f>
        <v>339.52694437245168</v>
      </c>
      <c r="K171" s="331">
        <f ca="1">J171*(1+K172)</f>
        <v>362.05704931394797</v>
      </c>
      <c r="L171" s="331">
        <f ca="1">K171*(1+L172)</f>
        <v>386.60268930318125</v>
      </c>
      <c r="N171" t="s">
        <v>396</v>
      </c>
    </row>
    <row r="172" spans="3:14" x14ac:dyDescent="0.25">
      <c r="C172" t="s">
        <v>397</v>
      </c>
      <c r="I172" s="247">
        <f ca="1">I162/H162-1</f>
        <v>6.2915420230325259E-2</v>
      </c>
      <c r="J172" s="247">
        <f t="shared" ref="J172:L172" ca="1" si="69">J162/I162-1</f>
        <v>6.4766264277418273E-2</v>
      </c>
      <c r="K172" s="247">
        <f t="shared" ca="1" si="69"/>
        <v>6.6357340160848599E-2</v>
      </c>
      <c r="L172" s="247">
        <f t="shared" ca="1" si="69"/>
        <v>6.7794951198282494E-2</v>
      </c>
      <c r="N172" t="s">
        <v>398</v>
      </c>
    </row>
    <row r="173" spans="3:14" x14ac:dyDescent="0.25">
      <c r="N173" s="30" t="s">
        <v>399</v>
      </c>
    </row>
    <row r="174" spans="3:14" x14ac:dyDescent="0.25">
      <c r="C174" s="11" t="s">
        <v>400</v>
      </c>
      <c r="E174" s="11"/>
      <c r="F174" s="11"/>
      <c r="G174" s="155" t="s">
        <v>401</v>
      </c>
      <c r="H174" s="333">
        <f>D11</f>
        <v>4443.2650000000003</v>
      </c>
      <c r="I174" s="53">
        <f ca="1">H176</f>
        <v>4241.0352666666668</v>
      </c>
      <c r="J174" s="53">
        <f t="shared" ref="J174:L174" ca="1" si="70">I176</f>
        <v>4052.1676003288953</v>
      </c>
      <c r="K174" s="53">
        <f t="shared" ca="1" si="70"/>
        <v>3876.185485161107</v>
      </c>
      <c r="L174" s="53">
        <f t="shared" ca="1" si="70"/>
        <v>3712.555203255396</v>
      </c>
      <c r="N174" t="s">
        <v>402</v>
      </c>
    </row>
    <row r="175" spans="3:14" x14ac:dyDescent="0.25">
      <c r="C175" t="s">
        <v>403</v>
      </c>
      <c r="H175" s="56">
        <f ca="1">(-H169+H170)/H171</f>
        <v>-202.22973333333331</v>
      </c>
      <c r="I175" s="56">
        <f t="shared" ref="I175:L175" ca="1" si="71">(-I169+I170)/I171</f>
        <v>-188.86766633777157</v>
      </c>
      <c r="J175" s="56">
        <f t="shared" ca="1" si="71"/>
        <v>-175.98211516778818</v>
      </c>
      <c r="K175" s="56">
        <f t="shared" ca="1" si="71"/>
        <v>-163.63028190571117</v>
      </c>
      <c r="L175" s="56">
        <f t="shared" ca="1" si="71"/>
        <v>-151.83890584701746</v>
      </c>
      <c r="N175" t="s">
        <v>404</v>
      </c>
    </row>
    <row r="176" spans="3:14" x14ac:dyDescent="0.25">
      <c r="C176" t="s">
        <v>405</v>
      </c>
      <c r="H176" s="56">
        <f ca="1">SUM(H174:H175)</f>
        <v>4241.0352666666668</v>
      </c>
      <c r="I176" s="56">
        <f t="shared" ref="I176:L176" ca="1" si="72">SUM(I174:I175)</f>
        <v>4052.1676003288953</v>
      </c>
      <c r="J176" s="56">
        <f t="shared" ca="1" si="72"/>
        <v>3876.185485161107</v>
      </c>
      <c r="K176" s="56">
        <f t="shared" ca="1" si="72"/>
        <v>3712.555203255396</v>
      </c>
      <c r="L176" s="56">
        <f t="shared" ca="1" si="72"/>
        <v>3560.7162974083785</v>
      </c>
      <c r="N176" t="s">
        <v>406</v>
      </c>
    </row>
    <row r="177" spans="3:14" x14ac:dyDescent="0.25">
      <c r="C177" s="11" t="s">
        <v>407</v>
      </c>
      <c r="E177" s="11"/>
      <c r="F177" s="11"/>
      <c r="G177" s="11"/>
      <c r="H177" s="53">
        <f ca="1">AVERAGE(H176,H174)</f>
        <v>4342.1501333333335</v>
      </c>
      <c r="I177" s="53">
        <f t="shared" ref="I177:L177" ca="1" si="73">AVERAGE(I176,I174)</f>
        <v>4146.6014334977808</v>
      </c>
      <c r="J177" s="53">
        <f t="shared" ca="1" si="73"/>
        <v>3964.1765427450009</v>
      </c>
      <c r="K177" s="53">
        <f t="shared" ca="1" si="73"/>
        <v>3794.3703442082515</v>
      </c>
      <c r="L177" s="53">
        <f t="shared" ca="1" si="73"/>
        <v>3636.6357503318873</v>
      </c>
      <c r="N177" t="s">
        <v>408</v>
      </c>
    </row>
    <row r="178" spans="3:14" x14ac:dyDescent="0.25">
      <c r="N178" s="30"/>
    </row>
    <row r="179" spans="3:14" x14ac:dyDescent="0.25">
      <c r="C179" s="230" t="s">
        <v>409</v>
      </c>
      <c r="D179" s="230"/>
      <c r="E179" s="230"/>
      <c r="F179" s="230"/>
      <c r="G179" s="230"/>
      <c r="H179" s="230"/>
      <c r="I179" s="230"/>
      <c r="J179" s="230"/>
      <c r="K179" s="230"/>
      <c r="L179" s="230"/>
    </row>
    <row r="180" spans="3:14" ht="15.75" thickBot="1" x14ac:dyDescent="0.3"/>
    <row r="181" spans="3:14" ht="15.75" thickBot="1" x14ac:dyDescent="0.3">
      <c r="C181" t="s">
        <v>410</v>
      </c>
      <c r="D181" s="334" t="str">
        <f>L5</f>
        <v>Base case</v>
      </c>
      <c r="G181" s="335" t="s">
        <v>411</v>
      </c>
      <c r="H181" s="291">
        <f t="shared" ref="H181:L182" si="74">H14</f>
        <v>2020</v>
      </c>
      <c r="I181" s="291">
        <f t="shared" si="74"/>
        <v>2021</v>
      </c>
      <c r="J181" s="291">
        <f t="shared" si="74"/>
        <v>2022</v>
      </c>
      <c r="K181" s="291">
        <f t="shared" si="74"/>
        <v>2023</v>
      </c>
      <c r="L181" s="291">
        <f t="shared" si="74"/>
        <v>2024</v>
      </c>
    </row>
    <row r="182" spans="3:14" x14ac:dyDescent="0.25">
      <c r="G182" s="336" t="s">
        <v>412</v>
      </c>
      <c r="H182" s="292">
        <f t="shared" si="74"/>
        <v>44104</v>
      </c>
      <c r="I182" s="292">
        <f t="shared" si="74"/>
        <v>44469</v>
      </c>
      <c r="J182" s="292">
        <f t="shared" si="74"/>
        <v>44834</v>
      </c>
      <c r="K182" s="292">
        <f t="shared" si="74"/>
        <v>45199</v>
      </c>
      <c r="L182" s="292">
        <f t="shared" si="74"/>
        <v>45565</v>
      </c>
    </row>
    <row r="183" spans="3:14" x14ac:dyDescent="0.25">
      <c r="C183" s="54" t="s">
        <v>272</v>
      </c>
      <c r="G183" s="337" t="str">
        <f ca="1">OFFSET(G$188,MATCH($L$5,$C$189:$C$191,0)+MATCH($C183,$C$188:$C$203,0)-1,0)</f>
        <v>NM</v>
      </c>
      <c r="H183" s="246">
        <f ca="1">OFFSET(H$188,MATCH($L$5,$C$189:$C$191,0)+MATCH($C183,$C$188:$C$203,0)-1,0)</f>
        <v>0.06</v>
      </c>
      <c r="I183" s="246">
        <f t="shared" ref="I183:L186" ca="1" si="75">OFFSET(I$188,MATCH($L$5,$C$189:$C$191,0)+MATCH($C183,$C$188:$C$203,0)-1,0)</f>
        <v>6.9000000000000006E-2</v>
      </c>
      <c r="J183" s="246">
        <f t="shared" ca="1" si="75"/>
        <v>6.9000000000000006E-2</v>
      </c>
      <c r="K183" s="246">
        <f t="shared" ca="1" si="75"/>
        <v>6.9000000000000006E-2</v>
      </c>
      <c r="L183" s="246">
        <f t="shared" ca="1" si="75"/>
        <v>6.9000000000000006E-2</v>
      </c>
    </row>
    <row r="184" spans="3:14" x14ac:dyDescent="0.25">
      <c r="C184" s="54" t="s">
        <v>274</v>
      </c>
      <c r="G184" s="337" t="str">
        <f t="shared" ref="G184:H186" ca="1" si="76">OFFSET(G$188,MATCH($L$5,$C$189:$C$191,0)+MATCH($C184,$C$188:$C$203,0)-1,0)</f>
        <v>NM</v>
      </c>
      <c r="H184" s="246">
        <f t="shared" ca="1" si="76"/>
        <v>0.378</v>
      </c>
      <c r="I184" s="246">
        <f t="shared" ca="1" si="75"/>
        <v>0.378</v>
      </c>
      <c r="J184" s="246">
        <f t="shared" ca="1" si="75"/>
        <v>0.378</v>
      </c>
      <c r="K184" s="246">
        <f t="shared" ca="1" si="75"/>
        <v>0.378</v>
      </c>
      <c r="L184" s="246">
        <f t="shared" ca="1" si="75"/>
        <v>0.378</v>
      </c>
    </row>
    <row r="185" spans="3:14" x14ac:dyDescent="0.25">
      <c r="C185" s="54" t="s">
        <v>276</v>
      </c>
      <c r="G185" s="337" t="str">
        <f t="shared" ca="1" si="76"/>
        <v>NM</v>
      </c>
      <c r="H185" s="246">
        <f t="shared" ca="1" si="76"/>
        <v>6.2E-2</v>
      </c>
      <c r="I185" s="246">
        <f t="shared" ca="1" si="75"/>
        <v>6.2E-2</v>
      </c>
      <c r="J185" s="246">
        <f t="shared" ca="1" si="75"/>
        <v>6.2E-2</v>
      </c>
      <c r="K185" s="246">
        <f t="shared" ca="1" si="75"/>
        <v>6.2E-2</v>
      </c>
      <c r="L185" s="246">
        <f t="shared" ca="1" si="75"/>
        <v>6.2E-2</v>
      </c>
    </row>
    <row r="186" spans="3:14" x14ac:dyDescent="0.25">
      <c r="C186" s="54" t="s">
        <v>277</v>
      </c>
      <c r="G186" s="337" t="str">
        <f t="shared" ca="1" si="76"/>
        <v>NM</v>
      </c>
      <c r="H186" s="246">
        <f t="shared" ca="1" si="76"/>
        <v>7.0000000000000007E-2</v>
      </c>
      <c r="I186" s="246">
        <f t="shared" ca="1" si="75"/>
        <v>7.0000000000000007E-2</v>
      </c>
      <c r="J186" s="246">
        <f t="shared" ca="1" si="75"/>
        <v>7.0000000000000007E-2</v>
      </c>
      <c r="K186" s="246">
        <f t="shared" ca="1" si="75"/>
        <v>7.0000000000000007E-2</v>
      </c>
      <c r="L186" s="246">
        <f t="shared" ca="1" si="75"/>
        <v>7.0000000000000007E-2</v>
      </c>
    </row>
    <row r="187" spans="3:14" x14ac:dyDescent="0.25">
      <c r="G187" s="338"/>
    </row>
    <row r="188" spans="3:14" x14ac:dyDescent="0.25">
      <c r="C188" s="299" t="s">
        <v>272</v>
      </c>
      <c r="G188" s="338"/>
    </row>
    <row r="189" spans="3:14" x14ac:dyDescent="0.25">
      <c r="C189" s="327" t="s">
        <v>413</v>
      </c>
      <c r="G189" s="339">
        <v>2.5000000000000001E-2</v>
      </c>
      <c r="H189" s="287">
        <f>H190+$G$189</f>
        <v>8.4999999999999992E-2</v>
      </c>
      <c r="I189" s="287">
        <f t="shared" ref="I189:L189" si="77">I190+$G$189</f>
        <v>9.4E-2</v>
      </c>
      <c r="J189" s="287">
        <f t="shared" si="77"/>
        <v>9.4E-2</v>
      </c>
      <c r="K189" s="287">
        <f t="shared" si="77"/>
        <v>9.4E-2</v>
      </c>
      <c r="L189" s="287">
        <f t="shared" si="77"/>
        <v>9.4E-2</v>
      </c>
    </row>
    <row r="190" spans="3:14" x14ac:dyDescent="0.25">
      <c r="C190" s="327" t="s">
        <v>232</v>
      </c>
      <c r="G190" s="340" t="s">
        <v>414</v>
      </c>
      <c r="H190" s="57">
        <v>0.06</v>
      </c>
      <c r="I190" s="57">
        <v>6.9000000000000006E-2</v>
      </c>
      <c r="J190" s="57">
        <f t="shared" ref="J190:L190" si="78">I190</f>
        <v>6.9000000000000006E-2</v>
      </c>
      <c r="K190" s="57">
        <f t="shared" si="78"/>
        <v>6.9000000000000006E-2</v>
      </c>
      <c r="L190" s="57">
        <f t="shared" si="78"/>
        <v>6.9000000000000006E-2</v>
      </c>
    </row>
    <row r="191" spans="3:14" x14ac:dyDescent="0.25">
      <c r="C191" s="327" t="s">
        <v>415</v>
      </c>
      <c r="G191" s="339">
        <v>-2.5000000000000001E-2</v>
      </c>
      <c r="H191" s="287">
        <f>H190+$G$191</f>
        <v>3.4999999999999996E-2</v>
      </c>
      <c r="I191" s="287">
        <f t="shared" ref="I191:L191" si="79">I190+$G$191</f>
        <v>4.4000000000000004E-2</v>
      </c>
      <c r="J191" s="287">
        <f t="shared" si="79"/>
        <v>4.4000000000000004E-2</v>
      </c>
      <c r="K191" s="287">
        <f t="shared" si="79"/>
        <v>4.4000000000000004E-2</v>
      </c>
      <c r="L191" s="287">
        <f t="shared" si="79"/>
        <v>4.4000000000000004E-2</v>
      </c>
    </row>
    <row r="192" spans="3:14" x14ac:dyDescent="0.25">
      <c r="C192" s="299" t="s">
        <v>274</v>
      </c>
      <c r="G192" s="340"/>
      <c r="H192" s="57"/>
      <c r="I192" s="57"/>
      <c r="J192" s="57"/>
      <c r="K192" s="57"/>
      <c r="L192" s="57"/>
    </row>
    <row r="193" spans="3:12" x14ac:dyDescent="0.25">
      <c r="C193" s="327" t="s">
        <v>413</v>
      </c>
      <c r="G193" s="339">
        <v>0.01</v>
      </c>
      <c r="H193" s="287">
        <f>H194+$G$193</f>
        <v>0.38800000000000001</v>
      </c>
      <c r="I193" s="287">
        <f t="shared" ref="I193:L193" si="80">I194+$G$193</f>
        <v>0.38800000000000001</v>
      </c>
      <c r="J193" s="287">
        <f t="shared" si="80"/>
        <v>0.38800000000000001</v>
      </c>
      <c r="K193" s="287">
        <f t="shared" si="80"/>
        <v>0.38800000000000001</v>
      </c>
      <c r="L193" s="287">
        <f t="shared" si="80"/>
        <v>0.38800000000000001</v>
      </c>
    </row>
    <row r="194" spans="3:12" x14ac:dyDescent="0.25">
      <c r="C194" s="327" t="s">
        <v>232</v>
      </c>
      <c r="G194" s="340" t="s">
        <v>414</v>
      </c>
      <c r="H194" s="57">
        <v>0.378</v>
      </c>
      <c r="I194" s="57">
        <v>0.378</v>
      </c>
      <c r="J194" s="57">
        <v>0.378</v>
      </c>
      <c r="K194" s="57">
        <v>0.378</v>
      </c>
      <c r="L194" s="57">
        <v>0.378</v>
      </c>
    </row>
    <row r="195" spans="3:12" x14ac:dyDescent="0.25">
      <c r="C195" s="327" t="s">
        <v>415</v>
      </c>
      <c r="G195" s="339">
        <v>-0.01</v>
      </c>
      <c r="H195" s="287">
        <f>H194+$G$195</f>
        <v>0.36799999999999999</v>
      </c>
      <c r="I195" s="287">
        <f t="shared" ref="I195:L195" si="81">I194+$G$195</f>
        <v>0.36799999999999999</v>
      </c>
      <c r="J195" s="287">
        <f t="shared" si="81"/>
        <v>0.36799999999999999</v>
      </c>
      <c r="K195" s="287">
        <f t="shared" si="81"/>
        <v>0.36799999999999999</v>
      </c>
      <c r="L195" s="287">
        <f t="shared" si="81"/>
        <v>0.36799999999999999</v>
      </c>
    </row>
    <row r="196" spans="3:12" x14ac:dyDescent="0.25">
      <c r="C196" s="299" t="s">
        <v>276</v>
      </c>
      <c r="G196" s="340"/>
      <c r="H196" s="341"/>
      <c r="I196" s="341"/>
      <c r="J196" s="341"/>
      <c r="K196" s="341"/>
      <c r="L196" s="341"/>
    </row>
    <row r="197" spans="3:12" x14ac:dyDescent="0.25">
      <c r="C197" s="327" t="s">
        <v>413</v>
      </c>
      <c r="G197" s="339">
        <v>-0.01</v>
      </c>
      <c r="H197" s="287">
        <f>H198+$G$197</f>
        <v>5.1999999999999998E-2</v>
      </c>
      <c r="I197" s="287">
        <f t="shared" ref="I197:L197" si="82">I198+$G$197</f>
        <v>5.1999999999999998E-2</v>
      </c>
      <c r="J197" s="287">
        <f t="shared" si="82"/>
        <v>5.1999999999999998E-2</v>
      </c>
      <c r="K197" s="287">
        <f t="shared" si="82"/>
        <v>5.1999999999999998E-2</v>
      </c>
      <c r="L197" s="287">
        <f t="shared" si="82"/>
        <v>5.1999999999999998E-2</v>
      </c>
    </row>
    <row r="198" spans="3:12" x14ac:dyDescent="0.25">
      <c r="C198" s="327" t="s">
        <v>232</v>
      </c>
      <c r="G198" s="340" t="s">
        <v>414</v>
      </c>
      <c r="H198" s="57">
        <v>6.2E-2</v>
      </c>
      <c r="I198" s="57">
        <v>6.2E-2</v>
      </c>
      <c r="J198" s="57">
        <v>6.2E-2</v>
      </c>
      <c r="K198" s="57">
        <v>6.2E-2</v>
      </c>
      <c r="L198" s="57">
        <v>6.2E-2</v>
      </c>
    </row>
    <row r="199" spans="3:12" x14ac:dyDescent="0.25">
      <c r="C199" s="327" t="s">
        <v>415</v>
      </c>
      <c r="G199" s="339">
        <v>0.01</v>
      </c>
      <c r="H199" s="287">
        <f>H198+$G$199</f>
        <v>7.1999999999999995E-2</v>
      </c>
      <c r="I199" s="287">
        <f t="shared" ref="I199:L199" si="83">I198+$G$199</f>
        <v>7.1999999999999995E-2</v>
      </c>
      <c r="J199" s="287">
        <f t="shared" si="83"/>
        <v>7.1999999999999995E-2</v>
      </c>
      <c r="K199" s="287">
        <f t="shared" si="83"/>
        <v>7.1999999999999995E-2</v>
      </c>
      <c r="L199" s="287">
        <f t="shared" si="83"/>
        <v>7.1999999999999995E-2</v>
      </c>
    </row>
    <row r="200" spans="3:12" x14ac:dyDescent="0.25">
      <c r="C200" s="299" t="s">
        <v>277</v>
      </c>
      <c r="G200" s="340"/>
      <c r="H200" s="341"/>
      <c r="I200" s="341"/>
      <c r="J200" s="341"/>
      <c r="K200" s="341"/>
      <c r="L200" s="341"/>
    </row>
    <row r="201" spans="3:12" x14ac:dyDescent="0.25">
      <c r="C201" s="327" t="s">
        <v>413</v>
      </c>
      <c r="G201" s="339">
        <v>-0.01</v>
      </c>
      <c r="H201" s="287">
        <f>H202+$G$201</f>
        <v>6.0000000000000005E-2</v>
      </c>
      <c r="I201" s="287">
        <f t="shared" ref="I201:L201" si="84">I202+$G$201</f>
        <v>6.0000000000000005E-2</v>
      </c>
      <c r="J201" s="287">
        <f t="shared" si="84"/>
        <v>6.0000000000000005E-2</v>
      </c>
      <c r="K201" s="287">
        <f t="shared" si="84"/>
        <v>6.0000000000000005E-2</v>
      </c>
      <c r="L201" s="287">
        <f t="shared" si="84"/>
        <v>6.0000000000000005E-2</v>
      </c>
    </row>
    <row r="202" spans="3:12" x14ac:dyDescent="0.25">
      <c r="C202" s="327" t="s">
        <v>232</v>
      </c>
      <c r="G202" s="340" t="s">
        <v>414</v>
      </c>
      <c r="H202" s="57">
        <v>7.0000000000000007E-2</v>
      </c>
      <c r="I202" s="57">
        <v>7.0000000000000007E-2</v>
      </c>
      <c r="J202" s="57">
        <v>7.0000000000000007E-2</v>
      </c>
      <c r="K202" s="57">
        <v>7.0000000000000007E-2</v>
      </c>
      <c r="L202" s="57">
        <v>7.0000000000000007E-2</v>
      </c>
    </row>
    <row r="203" spans="3:12" ht="15.75" thickBot="1" x14ac:dyDescent="0.3">
      <c r="C203" s="327" t="s">
        <v>415</v>
      </c>
      <c r="G203" s="342">
        <v>0.01</v>
      </c>
      <c r="H203" s="287">
        <f>H202+$G$203</f>
        <v>0.08</v>
      </c>
      <c r="I203" s="287">
        <f t="shared" ref="I203:L203" si="85">I202+$G$203</f>
        <v>0.08</v>
      </c>
      <c r="J203" s="287">
        <f t="shared" si="85"/>
        <v>0.08</v>
      </c>
      <c r="K203" s="287">
        <f t="shared" si="85"/>
        <v>0.08</v>
      </c>
      <c r="L203" s="287">
        <f t="shared" si="85"/>
        <v>0.08</v>
      </c>
    </row>
  </sheetData>
  <conditionalFormatting sqref="C39:D39">
    <cfRule type="expression" dxfId="4" priority="3">
      <formula>#REF!=$C39</formula>
    </cfRule>
  </conditionalFormatting>
  <conditionalFormatting sqref="C200">
    <cfRule type="expression" dxfId="3" priority="2">
      <formula>#REF!=$C200</formula>
    </cfRule>
  </conditionalFormatting>
  <conditionalFormatting sqref="C186">
    <cfRule type="expression" dxfId="2" priority="1">
      <formula>#REF!=$C186</formula>
    </cfRule>
  </conditionalFormatting>
  <dataValidations count="2">
    <dataValidation type="list" allowBlank="1" showInputMessage="1" showErrorMessage="1" sqref="L5" xr:uid="{3153CCBF-85C1-44F6-B34C-5D2BCA771EE6}">
      <formula1>$C$189:$C$191</formula1>
    </dataValidation>
    <dataValidation type="list" allowBlank="1" showInputMessage="1" showErrorMessage="1" sqref="D7" xr:uid="{DD92C442-1738-44A7-8BED-C00E2CB47DB1}">
      <formula1>"0,1"</formula1>
    </dataValidation>
  </dataValidations>
  <pageMargins left="0.7" right="0.7" top="0.75" bottom="0.75" header="0.3" footer="0.3"/>
  <pageSetup scale="3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6576-44DC-47C7-987C-D45B118F1FC2}">
  <sheetPr>
    <tabColor theme="4"/>
  </sheetPr>
  <dimension ref="B1:Q132"/>
  <sheetViews>
    <sheetView topLeftCell="A3" zoomScale="115" zoomScaleNormal="115" workbookViewId="0">
      <selection activeCell="E38" sqref="E38"/>
    </sheetView>
  </sheetViews>
  <sheetFormatPr defaultColWidth="9.140625" defaultRowHeight="15" x14ac:dyDescent="0.25"/>
  <cols>
    <col min="1" max="1" width="1.42578125" customWidth="1"/>
    <col min="2" max="2" width="54.42578125" customWidth="1"/>
    <col min="3" max="3" width="13.42578125" customWidth="1"/>
    <col min="4" max="9" width="12.7109375" customWidth="1"/>
    <col min="10" max="10" width="1.7109375" customWidth="1"/>
    <col min="11" max="11" width="12.140625" bestFit="1" customWidth="1"/>
    <col min="12" max="16" width="9.42578125" customWidth="1"/>
  </cols>
  <sheetData>
    <row r="1" spans="2:10" ht="15.75" thickBot="1" x14ac:dyDescent="0.3"/>
    <row r="2" spans="2:10" ht="15.75" thickBot="1" x14ac:dyDescent="0.3">
      <c r="B2" s="47" t="s">
        <v>83</v>
      </c>
      <c r="C2" s="48"/>
      <c r="D2" s="48"/>
      <c r="E2" s="48"/>
      <c r="F2" s="48"/>
      <c r="G2" s="48"/>
      <c r="H2" s="48"/>
      <c r="I2" s="48"/>
    </row>
    <row r="3" spans="2:10" x14ac:dyDescent="0.25">
      <c r="B3" s="61" t="str">
        <f>'Financials '!$B$3</f>
        <v xml:space="preserve">$ and shares in millions, except per share data </v>
      </c>
    </row>
    <row r="4" spans="2:10" x14ac:dyDescent="0.25">
      <c r="B4" t="s">
        <v>84</v>
      </c>
      <c r="D4" s="343">
        <v>43736</v>
      </c>
      <c r="F4" t="s">
        <v>85</v>
      </c>
      <c r="H4" s="268">
        <f>'WACC Done'!E21</f>
        <v>7.7864310730353978E-2</v>
      </c>
      <c r="I4" t="s">
        <v>416</v>
      </c>
    </row>
    <row r="5" spans="2:10" x14ac:dyDescent="0.25">
      <c r="B5" t="s">
        <v>86</v>
      </c>
      <c r="D5" s="344">
        <f>EOMONTH(D4,12)</f>
        <v>44104</v>
      </c>
      <c r="F5" t="s">
        <v>87</v>
      </c>
      <c r="H5" s="198">
        <v>273.52</v>
      </c>
      <c r="I5" t="s">
        <v>417</v>
      </c>
    </row>
    <row r="6" spans="2:10" x14ac:dyDescent="0.25">
      <c r="B6" t="s">
        <v>88</v>
      </c>
      <c r="D6" s="343">
        <v>43827</v>
      </c>
      <c r="F6" t="s">
        <v>89</v>
      </c>
      <c r="H6" s="199">
        <v>43888</v>
      </c>
      <c r="J6" s="67"/>
    </row>
    <row r="7" spans="2:10" x14ac:dyDescent="0.25">
      <c r="B7" t="s">
        <v>90</v>
      </c>
      <c r="D7" s="343">
        <v>43889</v>
      </c>
      <c r="F7" t="s">
        <v>91</v>
      </c>
      <c r="H7" s="210">
        <v>0</v>
      </c>
      <c r="I7" s="67"/>
      <c r="J7" s="67"/>
    </row>
    <row r="8" spans="2:10" x14ac:dyDescent="0.25">
      <c r="B8" t="s">
        <v>418</v>
      </c>
      <c r="D8" s="59">
        <f>YEARFRAC(D7,D5)</f>
        <v>0.58888888888888891</v>
      </c>
    </row>
    <row r="9" spans="2:10" x14ac:dyDescent="0.25">
      <c r="D9" s="70"/>
      <c r="F9" t="s">
        <v>419</v>
      </c>
      <c r="H9" s="70" t="str">
        <f>'2019 FSM Update Complete'!L5</f>
        <v>Base case</v>
      </c>
    </row>
    <row r="10" spans="2:10" x14ac:dyDescent="0.25">
      <c r="B10" s="51" t="s">
        <v>93</v>
      </c>
      <c r="C10" s="71"/>
      <c r="D10" s="72"/>
      <c r="F10" s="71"/>
      <c r="G10" s="71"/>
      <c r="H10" s="71"/>
      <c r="I10" s="71"/>
    </row>
    <row r="11" spans="2:10" ht="17.25" customHeight="1" x14ac:dyDescent="0.4">
      <c r="C11" s="50" t="s">
        <v>32</v>
      </c>
      <c r="D11" s="50" t="s">
        <v>72</v>
      </c>
      <c r="E11" s="73" t="s">
        <v>94</v>
      </c>
      <c r="F11" s="50"/>
      <c r="G11" s="50"/>
      <c r="H11" s="50"/>
      <c r="I11" s="50"/>
    </row>
    <row r="12" spans="2:10" x14ac:dyDescent="0.25">
      <c r="B12" s="24" t="s">
        <v>95</v>
      </c>
      <c r="C12" s="74">
        <f>D7</f>
        <v>43889</v>
      </c>
      <c r="D12" s="201">
        <f>D4</f>
        <v>43736</v>
      </c>
      <c r="E12" s="345">
        <f>EOMONTH(D12,12)</f>
        <v>44104</v>
      </c>
      <c r="F12" s="346">
        <f>EOMONTH(E12,12)</f>
        <v>44469</v>
      </c>
      <c r="G12" s="346">
        <f t="shared" ref="G12:I12" si="0">EOMONTH(F12,12)</f>
        <v>44834</v>
      </c>
      <c r="H12" s="346">
        <f t="shared" si="0"/>
        <v>45199</v>
      </c>
      <c r="I12" s="346">
        <f t="shared" si="0"/>
        <v>45565</v>
      </c>
    </row>
    <row r="13" spans="2:10" x14ac:dyDescent="0.25">
      <c r="B13" s="24"/>
      <c r="D13" s="77"/>
      <c r="E13" s="78"/>
      <c r="F13" s="78"/>
      <c r="G13" s="78"/>
      <c r="H13" s="78"/>
      <c r="I13" s="78"/>
    </row>
    <row r="14" spans="2:10" x14ac:dyDescent="0.25">
      <c r="B14" t="s">
        <v>2</v>
      </c>
      <c r="C14" s="81"/>
      <c r="D14" s="347"/>
      <c r="E14" s="348"/>
      <c r="F14" s="348"/>
      <c r="G14" s="348"/>
      <c r="H14" s="348"/>
      <c r="I14" s="348"/>
    </row>
    <row r="15" spans="2:10" x14ac:dyDescent="0.25">
      <c r="B15" s="54" t="s">
        <v>97</v>
      </c>
      <c r="D15" s="204"/>
      <c r="E15" s="69"/>
      <c r="F15" s="69"/>
      <c r="G15" s="69"/>
      <c r="H15" s="69"/>
      <c r="I15" s="69"/>
    </row>
    <row r="16" spans="2:10" x14ac:dyDescent="0.25">
      <c r="B16" t="s">
        <v>98</v>
      </c>
      <c r="C16" s="81"/>
      <c r="D16" s="347"/>
      <c r="E16" s="348"/>
      <c r="F16" s="348"/>
      <c r="G16" s="348"/>
      <c r="H16" s="348"/>
      <c r="I16" s="348"/>
    </row>
    <row r="17" spans="2:13" x14ac:dyDescent="0.25">
      <c r="B17" s="54" t="s">
        <v>77</v>
      </c>
      <c r="D17" s="85"/>
      <c r="E17" s="69"/>
      <c r="F17" s="69"/>
      <c r="G17" s="69"/>
      <c r="H17" s="69"/>
      <c r="I17" s="69"/>
    </row>
    <row r="18" spans="2:13" x14ac:dyDescent="0.25">
      <c r="B18" t="s">
        <v>78</v>
      </c>
      <c r="C18" s="81"/>
      <c r="D18" s="347"/>
      <c r="E18" s="348"/>
      <c r="F18" s="348"/>
      <c r="G18" s="348"/>
      <c r="H18" s="348"/>
      <c r="I18" s="348"/>
    </row>
    <row r="19" spans="2:13" x14ac:dyDescent="0.25">
      <c r="B19" s="54" t="s">
        <v>77</v>
      </c>
      <c r="D19" s="85"/>
      <c r="E19" s="69"/>
      <c r="F19" s="69"/>
      <c r="G19" s="69"/>
      <c r="H19" s="69"/>
      <c r="I19" s="69"/>
    </row>
    <row r="20" spans="2:13" x14ac:dyDescent="0.25">
      <c r="B20" s="54"/>
      <c r="D20" s="86"/>
      <c r="E20" s="87"/>
      <c r="F20" s="87"/>
      <c r="G20" s="87"/>
      <c r="H20" s="87"/>
      <c r="I20" s="87"/>
    </row>
    <row r="21" spans="2:13" x14ac:dyDescent="0.25">
      <c r="B21" t="s">
        <v>101</v>
      </c>
      <c r="D21" s="84"/>
      <c r="E21" s="81"/>
      <c r="F21" s="81"/>
      <c r="G21" s="81"/>
      <c r="H21" s="81"/>
      <c r="I21" s="81"/>
    </row>
    <row r="22" spans="2:13" ht="15" customHeight="1" x14ac:dyDescent="0.25">
      <c r="B22" s="54" t="s">
        <v>79</v>
      </c>
      <c r="D22" s="349"/>
      <c r="E22" s="349"/>
      <c r="F22" s="350"/>
      <c r="G22" s="350"/>
      <c r="H22" s="350"/>
      <c r="I22" s="350"/>
    </row>
    <row r="23" spans="2:13" x14ac:dyDescent="0.25">
      <c r="B23" s="11" t="s">
        <v>103</v>
      </c>
      <c r="C23" s="11"/>
      <c r="D23" s="351"/>
      <c r="E23" s="90"/>
      <c r="F23" s="90"/>
      <c r="G23" s="90"/>
      <c r="H23" s="90"/>
      <c r="I23" s="90"/>
    </row>
    <row r="24" spans="2:13" x14ac:dyDescent="0.25">
      <c r="D24" s="79"/>
      <c r="E24" s="79"/>
      <c r="F24" s="79"/>
      <c r="G24" s="79"/>
      <c r="H24" s="79"/>
      <c r="I24" s="79"/>
    </row>
    <row r="25" spans="2:13" x14ac:dyDescent="0.25">
      <c r="B25" t="s">
        <v>105</v>
      </c>
      <c r="D25" s="348"/>
      <c r="E25" s="348"/>
      <c r="F25" s="348"/>
      <c r="G25" s="348"/>
      <c r="H25" s="348"/>
      <c r="I25" s="348"/>
      <c r="M25" s="94"/>
    </row>
    <row r="26" spans="2:13" x14ac:dyDescent="0.25">
      <c r="B26" t="s">
        <v>107</v>
      </c>
      <c r="D26" s="79"/>
      <c r="E26" s="81"/>
      <c r="F26" s="81"/>
      <c r="G26" s="81"/>
      <c r="H26" s="81"/>
      <c r="I26" s="81"/>
      <c r="M26" s="94"/>
    </row>
    <row r="27" spans="2:13" x14ac:dyDescent="0.25">
      <c r="B27" t="s">
        <v>109</v>
      </c>
      <c r="D27" s="87"/>
      <c r="E27" s="348"/>
      <c r="F27" s="348"/>
      <c r="G27" s="348"/>
      <c r="H27" s="348"/>
      <c r="I27" s="348"/>
      <c r="M27" s="94"/>
    </row>
    <row r="28" spans="2:13" x14ac:dyDescent="0.25">
      <c r="B28" s="54" t="s">
        <v>82</v>
      </c>
      <c r="D28" s="87"/>
      <c r="E28" s="69"/>
      <c r="F28" s="69"/>
      <c r="G28" s="69"/>
      <c r="H28" s="69"/>
      <c r="I28" s="69"/>
      <c r="M28" s="94"/>
    </row>
    <row r="29" spans="2:13" x14ac:dyDescent="0.25">
      <c r="D29" s="87"/>
      <c r="E29" s="87"/>
      <c r="F29" s="87"/>
      <c r="G29" s="87"/>
      <c r="H29" s="87"/>
      <c r="I29" s="87"/>
      <c r="M29" s="94"/>
    </row>
    <row r="30" spans="2:13" x14ac:dyDescent="0.25">
      <c r="B30" s="11" t="s">
        <v>111</v>
      </c>
      <c r="C30" s="11"/>
      <c r="D30" s="98"/>
      <c r="E30" s="90"/>
      <c r="F30" s="90"/>
      <c r="G30" s="90"/>
      <c r="H30" s="90"/>
      <c r="I30" s="90"/>
      <c r="M30" s="98"/>
    </row>
    <row r="31" spans="2:13" x14ac:dyDescent="0.25">
      <c r="D31" s="87"/>
      <c r="M31" s="94"/>
    </row>
    <row r="32" spans="2:13" x14ac:dyDescent="0.25">
      <c r="B32" t="s">
        <v>81</v>
      </c>
      <c r="D32" s="348"/>
      <c r="E32" s="348"/>
      <c r="F32" s="348"/>
      <c r="G32" s="348"/>
      <c r="H32" s="348"/>
      <c r="I32" s="348"/>
    </row>
    <row r="33" spans="2:13" ht="15" customHeight="1" x14ac:dyDescent="0.25">
      <c r="B33" s="54" t="s">
        <v>82</v>
      </c>
      <c r="D33" s="59"/>
      <c r="E33" s="69"/>
      <c r="F33" s="69"/>
      <c r="G33" s="69"/>
      <c r="H33" s="69"/>
      <c r="I33" s="69"/>
      <c r="J33" s="87"/>
    </row>
    <row r="34" spans="2:13" x14ac:dyDescent="0.25">
      <c r="D34" s="87"/>
      <c r="E34" s="59"/>
      <c r="F34" s="59"/>
      <c r="G34" s="59"/>
      <c r="H34" s="59"/>
      <c r="I34" s="59"/>
      <c r="J34" s="87"/>
      <c r="K34" s="100"/>
      <c r="M34" s="59"/>
    </row>
    <row r="35" spans="2:13" x14ac:dyDescent="0.25">
      <c r="B35" s="51" t="str">
        <f>"Present value of UFCF on "&amp;TEXT(D7,"mmm dd, yyyy")&amp;" valuation date"</f>
        <v>Present value of UFCF on Feb 28, 2020 valuation date</v>
      </c>
      <c r="C35" s="71"/>
      <c r="D35" s="101"/>
      <c r="E35" s="71"/>
      <c r="F35" s="101"/>
      <c r="G35" s="101"/>
      <c r="H35" s="101"/>
      <c r="I35" s="101"/>
      <c r="J35" s="87"/>
    </row>
    <row r="36" spans="2:13" ht="17.25" x14ac:dyDescent="0.4">
      <c r="B36" s="11"/>
      <c r="D36" s="102" t="s">
        <v>114</v>
      </c>
      <c r="E36" s="102" t="s">
        <v>115</v>
      </c>
      <c r="F36" s="103" t="s">
        <v>116</v>
      </c>
      <c r="G36" s="103" t="s">
        <v>117</v>
      </c>
      <c r="H36" s="103" t="s">
        <v>118</v>
      </c>
      <c r="I36" s="103" t="s">
        <v>119</v>
      </c>
      <c r="J36" s="87"/>
    </row>
    <row r="37" spans="2:13" x14ac:dyDescent="0.25">
      <c r="B37" t="s">
        <v>120</v>
      </c>
      <c r="D37" s="1">
        <f>D7</f>
        <v>43889</v>
      </c>
      <c r="E37" s="1">
        <f>IF($H$7=1,AVERAGE(E12,D37),E12)</f>
        <v>44104</v>
      </c>
      <c r="F37" s="1">
        <f>IF($H$7=1,AVERAGE(F12,E12),F12)</f>
        <v>44469</v>
      </c>
      <c r="G37" s="1">
        <f>IF($H$7=1,AVERAGE(G12,F12),G12)</f>
        <v>44834</v>
      </c>
      <c r="H37" s="1">
        <f>IF($H$7=1,AVERAGE(H12,G12),H12)</f>
        <v>45199</v>
      </c>
      <c r="I37" s="1">
        <f>IF($H$7=1,AVERAGE(I12,H12),I12)</f>
        <v>45565</v>
      </c>
      <c r="J37" s="87"/>
    </row>
    <row r="38" spans="2:13" x14ac:dyDescent="0.25">
      <c r="B38" t="s">
        <v>122</v>
      </c>
      <c r="C38" s="211">
        <f>D8</f>
        <v>0.58888888888888891</v>
      </c>
      <c r="D38" s="94"/>
      <c r="E38" s="212">
        <f>E30*C38</f>
        <v>0</v>
      </c>
      <c r="F38" s="212">
        <f>F30</f>
        <v>0</v>
      </c>
      <c r="G38" s="212">
        <f>G30</f>
        <v>0</v>
      </c>
      <c r="H38" s="212">
        <f>H30</f>
        <v>0</v>
      </c>
      <c r="I38" s="212">
        <f>I30</f>
        <v>0</v>
      </c>
      <c r="J38" s="79"/>
      <c r="K38" t="s">
        <v>123</v>
      </c>
    </row>
    <row r="39" spans="2:13" ht="15" customHeight="1" x14ac:dyDescent="0.25">
      <c r="B39" s="11" t="s">
        <v>124</v>
      </c>
      <c r="C39" s="107"/>
      <c r="D39" s="98"/>
      <c r="E39" s="98">
        <f>E38/(1+$H$4)^((E37-$D$7)/365)</f>
        <v>0</v>
      </c>
      <c r="F39" s="98">
        <f>F38/(1+$H$4)^((F37-$D$7)/365)</f>
        <v>0</v>
      </c>
      <c r="G39" s="98">
        <f>G38/(1+$H$4)^((G37-$D$7)/365)</f>
        <v>0</v>
      </c>
      <c r="H39" s="98">
        <f>H38/(1+$H$4)^((H37-$D$7)/365)</f>
        <v>0</v>
      </c>
      <c r="I39" s="98">
        <f>I38/(1+$H$4)^((I37-$D$7)/365)</f>
        <v>0</v>
      </c>
      <c r="J39" s="79"/>
    </row>
    <row r="41" spans="2:13" x14ac:dyDescent="0.25">
      <c r="B41" s="51" t="s">
        <v>125</v>
      </c>
      <c r="C41" s="51"/>
      <c r="E41" s="51" t="s">
        <v>126</v>
      </c>
      <c r="F41" s="71"/>
      <c r="G41" s="71"/>
      <c r="H41" s="71"/>
      <c r="I41" s="71"/>
    </row>
    <row r="42" spans="2:13" x14ac:dyDescent="0.25">
      <c r="B42" t="s">
        <v>127</v>
      </c>
      <c r="C42" s="55">
        <v>0.03</v>
      </c>
      <c r="E42" t="s">
        <v>128</v>
      </c>
      <c r="I42" s="94">
        <f>I16</f>
        <v>0</v>
      </c>
      <c r="J42" s="94"/>
    </row>
    <row r="43" spans="2:13" x14ac:dyDescent="0.25">
      <c r="B43" s="109" t="str">
        <f>YEAR(I12)&amp;" FCF x (1+g)"</f>
        <v>2024 FCF x (1+g)</v>
      </c>
      <c r="C43" s="94">
        <f>I38*(1+C42)</f>
        <v>0</v>
      </c>
      <c r="E43" t="s">
        <v>129</v>
      </c>
      <c r="I43" s="111">
        <v>12.5154387291762</v>
      </c>
      <c r="J43" s="111"/>
    </row>
    <row r="44" spans="2:13" x14ac:dyDescent="0.25">
      <c r="B44" t="str">
        <f>"Terminal value in "&amp;YEAR(I12)</f>
        <v>Terminal value in 2024</v>
      </c>
      <c r="C44" s="94">
        <f>C43/(H4-C42)</f>
        <v>0</v>
      </c>
      <c r="E44" t="str">
        <f>"Terminal value in "&amp;YEAR(I12)</f>
        <v>Terminal value in 2024</v>
      </c>
      <c r="I44" s="94">
        <f>I42*I43</f>
        <v>0</v>
      </c>
      <c r="J44" s="94"/>
    </row>
    <row r="45" spans="2:13" x14ac:dyDescent="0.25">
      <c r="B45" t="s">
        <v>130</v>
      </c>
      <c r="C45" s="94">
        <f>C44/(1+H4)^((I37-$D$37)/365)</f>
        <v>0</v>
      </c>
      <c r="E45" t="s">
        <v>130</v>
      </c>
      <c r="I45" s="94">
        <f>I44/(1+H4)^((I37-D37)/365)</f>
        <v>0</v>
      </c>
      <c r="J45" s="94"/>
    </row>
    <row r="46" spans="2:13" x14ac:dyDescent="0.25">
      <c r="B46" t="s">
        <v>131</v>
      </c>
      <c r="C46" s="79">
        <f>SUM(E39:I39)</f>
        <v>0</v>
      </c>
      <c r="E46" t="s">
        <v>131</v>
      </c>
      <c r="I46" s="94">
        <f>C46</f>
        <v>0</v>
      </c>
      <c r="J46" s="94"/>
    </row>
    <row r="47" spans="2:13" x14ac:dyDescent="0.25">
      <c r="B47" s="11" t="s">
        <v>132</v>
      </c>
      <c r="C47" s="113">
        <f>C46+C45</f>
        <v>0</v>
      </c>
      <c r="E47" s="11" t="s">
        <v>133</v>
      </c>
      <c r="I47" s="113">
        <f>SUM(I45:I46)</f>
        <v>0</v>
      </c>
      <c r="J47" s="113"/>
    </row>
    <row r="49" spans="2:11" x14ac:dyDescent="0.25">
      <c r="B49" s="114" t="s">
        <v>134</v>
      </c>
      <c r="C49" s="116" t="e">
        <f>C45/$C$47</f>
        <v>#DIV/0!</v>
      </c>
      <c r="E49" s="114" t="s">
        <v>134</v>
      </c>
      <c r="I49" s="116" t="e">
        <f>+I45/I47</f>
        <v>#DIV/0!</v>
      </c>
      <c r="J49" s="116"/>
    </row>
    <row r="50" spans="2:11" x14ac:dyDescent="0.25">
      <c r="B50" s="114" t="s">
        <v>135</v>
      </c>
      <c r="C50" s="116" t="e">
        <f>1-C49</f>
        <v>#DIV/0!</v>
      </c>
      <c r="E50" s="114" t="s">
        <v>420</v>
      </c>
      <c r="G50" s="117"/>
      <c r="I50" s="92" t="e">
        <f>1-I49</f>
        <v>#DIV/0!</v>
      </c>
      <c r="J50" s="92"/>
    </row>
    <row r="51" spans="2:11" x14ac:dyDescent="0.25">
      <c r="B51" s="114" t="s">
        <v>136</v>
      </c>
      <c r="C51" s="121" t="e">
        <f>(C44/I16)</f>
        <v>#DIV/0!</v>
      </c>
      <c r="E51" t="s">
        <v>137</v>
      </c>
      <c r="I51" s="120" t="e">
        <f>(H4-I38/I44)/(1+I38/I44)</f>
        <v>#DIV/0!</v>
      </c>
      <c r="J51" s="120"/>
    </row>
    <row r="52" spans="2:11" x14ac:dyDescent="0.25">
      <c r="B52" s="114"/>
      <c r="C52" s="24"/>
      <c r="D52" s="121"/>
      <c r="I52" s="120"/>
      <c r="J52" s="120"/>
    </row>
    <row r="53" spans="2:11" x14ac:dyDescent="0.25">
      <c r="B53" s="51" t="s">
        <v>138</v>
      </c>
      <c r="C53" s="71"/>
      <c r="E53" s="51" t="s">
        <v>139</v>
      </c>
      <c r="F53" s="71"/>
      <c r="G53" s="51"/>
      <c r="H53" s="71"/>
      <c r="I53" s="71"/>
    </row>
    <row r="54" spans="2:11" x14ac:dyDescent="0.25">
      <c r="B54" t="s">
        <v>140</v>
      </c>
      <c r="C54" s="199" t="s">
        <v>141</v>
      </c>
    </row>
    <row r="55" spans="2:11" x14ac:dyDescent="0.25">
      <c r="B55" s="122" t="s">
        <v>142</v>
      </c>
      <c r="C55" s="1">
        <f>D6</f>
        <v>43827</v>
      </c>
      <c r="G55" s="30" t="s">
        <v>140</v>
      </c>
      <c r="H55" s="123" t="s">
        <v>143</v>
      </c>
      <c r="I55" s="123" t="s">
        <v>144</v>
      </c>
    </row>
    <row r="56" spans="2:11" x14ac:dyDescent="0.25">
      <c r="B56" s="124" t="s">
        <v>145</v>
      </c>
      <c r="C56" s="125"/>
      <c r="E56" t="s">
        <v>146</v>
      </c>
      <c r="G56" s="199" t="s">
        <v>141</v>
      </c>
      <c r="H56" s="199">
        <v>43847</v>
      </c>
      <c r="I56" s="127">
        <v>4375.4799999999996</v>
      </c>
      <c r="J56" s="127"/>
    </row>
    <row r="57" spans="2:11" x14ac:dyDescent="0.25">
      <c r="B57" s="54" t="s">
        <v>147</v>
      </c>
      <c r="C57" s="97">
        <f>4990+10224+93078</f>
        <v>108292</v>
      </c>
      <c r="E57" s="122" t="s">
        <v>148</v>
      </c>
      <c r="G57" s="199" t="s">
        <v>141</v>
      </c>
      <c r="H57" s="199">
        <v>43827</v>
      </c>
      <c r="I57" s="127">
        <v>96.02</v>
      </c>
      <c r="J57" s="128"/>
    </row>
    <row r="58" spans="2:11" x14ac:dyDescent="0.25">
      <c r="B58" s="54" t="s">
        <v>149</v>
      </c>
      <c r="C58" s="265" t="e">
        <f>#REF!+#REF!</f>
        <v>#REF!</v>
      </c>
      <c r="E58" s="122" t="s">
        <v>150</v>
      </c>
      <c r="G58" s="199"/>
      <c r="H58" s="199"/>
      <c r="I58" s="269" t="e">
        <f>#REF!</f>
        <v>#REF!</v>
      </c>
      <c r="K58" t="s">
        <v>421</v>
      </c>
    </row>
    <row r="59" spans="2:11" ht="15" customHeight="1" x14ac:dyDescent="0.25">
      <c r="B59" s="54" t="s">
        <v>151</v>
      </c>
      <c r="C59" s="265" t="e">
        <f>#REF!+#REF!</f>
        <v>#REF!</v>
      </c>
      <c r="E59" t="s">
        <v>149</v>
      </c>
      <c r="G59" s="199"/>
      <c r="H59" s="199"/>
      <c r="I59" s="269" t="e">
        <f>#REF!</f>
        <v>#REF!</v>
      </c>
      <c r="K59" t="s">
        <v>422</v>
      </c>
    </row>
    <row r="60" spans="2:11" x14ac:dyDescent="0.25">
      <c r="B60" s="131" t="s">
        <v>152</v>
      </c>
      <c r="C60" s="97">
        <v>0</v>
      </c>
      <c r="E60" t="s">
        <v>153</v>
      </c>
      <c r="G60" s="199"/>
      <c r="H60" s="199"/>
      <c r="I60" s="269" t="e">
        <f>#REF!</f>
        <v>#REF!</v>
      </c>
      <c r="K60" t="s">
        <v>423</v>
      </c>
    </row>
    <row r="61" spans="2:11" ht="15" customHeight="1" x14ac:dyDescent="0.25">
      <c r="B61" s="124" t="s">
        <v>154</v>
      </c>
      <c r="E61" s="132" t="s">
        <v>155</v>
      </c>
      <c r="I61" s="214" t="e">
        <f>SUM(I56:I60)</f>
        <v>#REF!</v>
      </c>
      <c r="J61" s="134"/>
    </row>
    <row r="62" spans="2:11" x14ac:dyDescent="0.25">
      <c r="B62" s="135" t="s">
        <v>156</v>
      </c>
      <c r="C62" s="97">
        <f>39771+67391+99899</f>
        <v>207061</v>
      </c>
      <c r="J62" s="136"/>
    </row>
    <row r="63" spans="2:11" x14ac:dyDescent="0.25">
      <c r="B63" s="135" t="s">
        <v>157</v>
      </c>
      <c r="C63" s="97">
        <v>0</v>
      </c>
      <c r="J63" s="136"/>
    </row>
    <row r="64" spans="2:11" x14ac:dyDescent="0.25">
      <c r="J64" s="137"/>
    </row>
    <row r="65" spans="2:6" x14ac:dyDescent="0.25">
      <c r="B65" s="138" t="s">
        <v>138</v>
      </c>
      <c r="C65" s="53" t="e">
        <f>SUM(C57:C60)-SUM(C62:C63)</f>
        <v>#REF!</v>
      </c>
    </row>
    <row r="67" spans="2:6" x14ac:dyDescent="0.25">
      <c r="B67" s="51" t="s">
        <v>158</v>
      </c>
      <c r="C67" s="71"/>
      <c r="D67" s="71"/>
    </row>
    <row r="68" spans="2:6" ht="17.25" x14ac:dyDescent="0.4">
      <c r="C68" s="140" t="s">
        <v>159</v>
      </c>
      <c r="D68" s="140" t="s">
        <v>98</v>
      </c>
    </row>
    <row r="69" spans="2:6" x14ac:dyDescent="0.25">
      <c r="B69" t="s">
        <v>160</v>
      </c>
      <c r="C69" s="215">
        <f>C47</f>
        <v>0</v>
      </c>
      <c r="D69" s="215">
        <f>I47</f>
        <v>0</v>
      </c>
    </row>
    <row r="70" spans="2:6" x14ac:dyDescent="0.25">
      <c r="B70" t="s">
        <v>138</v>
      </c>
      <c r="C70" s="216" t="e">
        <f>$C$65</f>
        <v>#REF!</v>
      </c>
      <c r="D70" s="216" t="e">
        <f>C70</f>
        <v>#REF!</v>
      </c>
    </row>
    <row r="71" spans="2:6" x14ac:dyDescent="0.25">
      <c r="B71" t="s">
        <v>161</v>
      </c>
      <c r="C71" s="217" t="e">
        <f>C69-C70</f>
        <v>#REF!</v>
      </c>
      <c r="D71" s="217" t="e">
        <f>D69-D70</f>
        <v>#REF!</v>
      </c>
    </row>
    <row r="72" spans="2:6" x14ac:dyDescent="0.25">
      <c r="B72" t="s">
        <v>139</v>
      </c>
      <c r="C72" s="217" t="e">
        <f>$I$61</f>
        <v>#REF!</v>
      </c>
      <c r="D72" s="217" t="e">
        <f>C72</f>
        <v>#REF!</v>
      </c>
    </row>
    <row r="73" spans="2:6" x14ac:dyDescent="0.25">
      <c r="B73" s="11" t="s">
        <v>162</v>
      </c>
      <c r="C73" s="145" t="e">
        <f>C71/C72</f>
        <v>#REF!</v>
      </c>
      <c r="D73" s="145" t="e">
        <f>D71/D72</f>
        <v>#REF!</v>
      </c>
    </row>
    <row r="75" spans="2:6" ht="17.25" x14ac:dyDescent="0.4">
      <c r="C75" s="50" t="s">
        <v>424</v>
      </c>
      <c r="D75" s="50"/>
    </row>
    <row r="76" spans="2:6" x14ac:dyDescent="0.25">
      <c r="B76" s="30"/>
      <c r="C76" s="123" t="s">
        <v>159</v>
      </c>
      <c r="D76" s="123" t="s">
        <v>98</v>
      </c>
    </row>
    <row r="77" spans="2:6" x14ac:dyDescent="0.25">
      <c r="B77" t="s">
        <v>164</v>
      </c>
      <c r="C77" s="147" t="e">
        <f t="shared" ref="C77" si="1">C$69/$C$14</f>
        <v>#DIV/0!</v>
      </c>
      <c r="D77" s="147" t="e">
        <f>D$69/$C$14</f>
        <v>#DIV/0!</v>
      </c>
    </row>
    <row r="78" spans="2:6" x14ac:dyDescent="0.25">
      <c r="B78" t="s">
        <v>165</v>
      </c>
      <c r="C78" s="148" t="e">
        <f t="shared" ref="C78" si="2">C69/$C$16</f>
        <v>#DIV/0!</v>
      </c>
      <c r="D78" s="148" t="e">
        <f>D69/$C$16</f>
        <v>#DIV/0!</v>
      </c>
    </row>
    <row r="79" spans="2:6" x14ac:dyDescent="0.25">
      <c r="B79" s="79" t="s">
        <v>166</v>
      </c>
      <c r="C79" s="148" t="e">
        <f t="shared" ref="C79" si="3">C69/$C$18</f>
        <v>#DIV/0!</v>
      </c>
      <c r="D79" s="148" t="e">
        <f>D69/$C$18</f>
        <v>#DIV/0!</v>
      </c>
    </row>
    <row r="80" spans="2:6" ht="17.25" x14ac:dyDescent="0.4">
      <c r="B80" s="79"/>
      <c r="C80" s="50" t="s">
        <v>425</v>
      </c>
      <c r="D80" s="50"/>
      <c r="E80" s="146"/>
      <c r="F80" s="146"/>
    </row>
    <row r="81" spans="2:17" x14ac:dyDescent="0.25">
      <c r="B81" s="30"/>
      <c r="C81" s="123" t="s">
        <v>159</v>
      </c>
      <c r="D81" s="123" t="s">
        <v>98</v>
      </c>
      <c r="E81" s="146"/>
      <c r="F81" s="146"/>
    </row>
    <row r="82" spans="2:17" x14ac:dyDescent="0.25">
      <c r="B82" t="s">
        <v>164</v>
      </c>
      <c r="C82" s="218" t="e">
        <f>C69/$E$14</f>
        <v>#DIV/0!</v>
      </c>
      <c r="D82" s="218" t="e">
        <f>D69/$E$14</f>
        <v>#DIV/0!</v>
      </c>
      <c r="E82" s="146"/>
      <c r="F82" s="146"/>
    </row>
    <row r="83" spans="2:17" x14ac:dyDescent="0.25">
      <c r="B83" t="s">
        <v>165</v>
      </c>
      <c r="C83" s="146" t="e">
        <f>C69/$E$16</f>
        <v>#DIV/0!</v>
      </c>
      <c r="D83" s="146" t="e">
        <f>D69/$E$16</f>
        <v>#DIV/0!</v>
      </c>
      <c r="E83" s="146"/>
      <c r="F83" s="146"/>
    </row>
    <row r="84" spans="2:17" x14ac:dyDescent="0.25">
      <c r="B84" s="79" t="s">
        <v>166</v>
      </c>
      <c r="C84" s="146" t="e">
        <f>C69/$E$18</f>
        <v>#DIV/0!</v>
      </c>
      <c r="D84" s="146" t="e">
        <f>D69/$E$18</f>
        <v>#DIV/0!</v>
      </c>
      <c r="E84" s="146"/>
      <c r="F84" s="146"/>
    </row>
    <row r="86" spans="2:17" x14ac:dyDescent="0.25">
      <c r="B86" s="51" t="s">
        <v>167</v>
      </c>
      <c r="C86" s="51"/>
      <c r="D86" s="51"/>
      <c r="E86" s="51"/>
      <c r="F86" s="51"/>
      <c r="G86" s="51"/>
      <c r="H86" s="51"/>
      <c r="I86" s="51"/>
      <c r="J86" s="51"/>
      <c r="K86" s="51"/>
      <c r="L86" s="51"/>
      <c r="M86" s="51"/>
      <c r="N86" s="51"/>
      <c r="O86" s="51"/>
      <c r="P86" s="51"/>
      <c r="Q86" s="51"/>
    </row>
    <row r="87" spans="2:17" x14ac:dyDescent="0.25">
      <c r="B87" s="11"/>
    </row>
    <row r="88" spans="2:17" ht="17.25" customHeight="1" x14ac:dyDescent="0.4">
      <c r="B88" s="151"/>
      <c r="C88" s="11"/>
      <c r="D88" s="152" t="s">
        <v>162</v>
      </c>
      <c r="E88" s="50"/>
      <c r="F88" s="50"/>
      <c r="G88" s="50"/>
      <c r="H88" s="50"/>
      <c r="I88" s="50"/>
      <c r="J88" s="153"/>
      <c r="L88" s="152" t="s">
        <v>426</v>
      </c>
      <c r="M88" s="50"/>
      <c r="N88" s="50"/>
      <c r="O88" s="50"/>
      <c r="P88" s="50"/>
      <c r="Q88" s="50"/>
    </row>
    <row r="89" spans="2:17" ht="15" customHeight="1" x14ac:dyDescent="0.25">
      <c r="B89" s="151"/>
      <c r="D89" s="122"/>
      <c r="E89" s="2" t="s">
        <v>169</v>
      </c>
      <c r="F89" s="2"/>
      <c r="G89" s="2"/>
      <c r="H89" s="2"/>
      <c r="I89" s="2"/>
      <c r="J89" s="154"/>
      <c r="L89" s="122"/>
      <c r="M89" s="2"/>
      <c r="N89" s="2"/>
      <c r="O89" s="2"/>
      <c r="P89" s="2"/>
      <c r="Q89" s="2"/>
    </row>
    <row r="90" spans="2:17" ht="15" customHeight="1" x14ac:dyDescent="0.25">
      <c r="B90" s="151"/>
      <c r="C90" s="155"/>
      <c r="D90" s="352" t="e">
        <f>C73</f>
        <v>#REF!</v>
      </c>
      <c r="E90" s="157">
        <f>F90-0.005</f>
        <v>1.9999999999999997E-2</v>
      </c>
      <c r="F90" s="158">
        <f>G90-0.005</f>
        <v>2.4999999999999998E-2</v>
      </c>
      <c r="G90" s="159">
        <v>0.03</v>
      </c>
      <c r="H90" s="158">
        <f>G90+0.005</f>
        <v>3.4999999999999996E-2</v>
      </c>
      <c r="I90" s="158">
        <f>H90+0.005</f>
        <v>3.9999999999999994E-2</v>
      </c>
      <c r="J90" s="160"/>
      <c r="L90" s="161" t="e">
        <f>C78</f>
        <v>#DIV/0!</v>
      </c>
      <c r="M90" s="158">
        <f>N90-0.005</f>
        <v>1.9999999999999997E-2</v>
      </c>
      <c r="N90" s="158">
        <f>O90-0.005</f>
        <v>2.4999999999999998E-2</v>
      </c>
      <c r="O90" s="159">
        <v>0.03</v>
      </c>
      <c r="P90" s="158">
        <f>O90+0.005</f>
        <v>3.4999999999999996E-2</v>
      </c>
      <c r="Q90" s="353">
        <f>P90+0.005</f>
        <v>3.9999999999999994E-2</v>
      </c>
    </row>
    <row r="91" spans="2:17" ht="15" customHeight="1" x14ac:dyDescent="0.25">
      <c r="B91" s="151"/>
      <c r="D91" s="162">
        <f>D92+0.01</f>
        <v>0.10999999999999999</v>
      </c>
      <c r="E91" s="163" t="e">
        <f t="dataTable" ref="E91:I95" dt2D="1" dtr="1" r1="C42" r2="H4" ca="1"/>
        <v>#REF!</v>
      </c>
      <c r="F91" s="163" t="e">
        <v>#REF!</v>
      </c>
      <c r="G91" s="163" t="e">
        <v>#REF!</v>
      </c>
      <c r="H91" s="163" t="e">
        <v>#REF!</v>
      </c>
      <c r="I91" s="163" t="e">
        <v>#REF!</v>
      </c>
      <c r="J91" s="164"/>
      <c r="L91" s="162">
        <f t="shared" ref="L91" si="4">L92+0.01</f>
        <v>0.10999999999999999</v>
      </c>
      <c r="M91" s="165" t="e">
        <f t="dataTable" ref="M91:Q95" dt2D="1" dtr="1" r1="C42" r2="H4" ca="1"/>
        <v>#DIV/0!</v>
      </c>
      <c r="N91" s="165" t="e">
        <v>#DIV/0!</v>
      </c>
      <c r="O91" s="165" t="e">
        <v>#DIV/0!</v>
      </c>
      <c r="P91" s="165" t="e">
        <v>#DIV/0!</v>
      </c>
      <c r="Q91" s="165" t="e">
        <v>#DIV/0!</v>
      </c>
    </row>
    <row r="92" spans="2:17" ht="15" customHeight="1" x14ac:dyDescent="0.25">
      <c r="B92" s="151"/>
      <c r="D92" s="162">
        <f>D93+0.01</f>
        <v>9.9999999999999992E-2</v>
      </c>
      <c r="E92" s="163" t="e">
        <v>#REF!</v>
      </c>
      <c r="F92" s="163" t="e">
        <v>#REF!</v>
      </c>
      <c r="G92" s="163" t="e">
        <v>#REF!</v>
      </c>
      <c r="H92" s="163" t="e">
        <v>#REF!</v>
      </c>
      <c r="I92" s="163" t="e">
        <v>#REF!</v>
      </c>
      <c r="J92" s="164"/>
      <c r="L92" s="162">
        <f>L93+0.01</f>
        <v>9.9999999999999992E-2</v>
      </c>
      <c r="M92" s="165" t="e">
        <v>#DIV/0!</v>
      </c>
      <c r="N92" s="165" t="e">
        <v>#DIV/0!</v>
      </c>
      <c r="O92" s="165" t="e">
        <v>#DIV/0!</v>
      </c>
      <c r="P92" s="165" t="e">
        <v>#DIV/0!</v>
      </c>
      <c r="Q92" s="165" t="e">
        <v>#DIV/0!</v>
      </c>
    </row>
    <row r="93" spans="2:17" ht="15" customHeight="1" x14ac:dyDescent="0.25">
      <c r="B93" s="151"/>
      <c r="C93" s="155" t="s">
        <v>170</v>
      </c>
      <c r="D93" s="166">
        <v>0.09</v>
      </c>
      <c r="E93" s="163" t="e">
        <v>#REF!</v>
      </c>
      <c r="F93" s="163" t="e">
        <v>#REF!</v>
      </c>
      <c r="G93" s="163" t="e">
        <v>#REF!</v>
      </c>
      <c r="H93" s="163" t="e">
        <v>#REF!</v>
      </c>
      <c r="I93" s="163" t="e">
        <v>#REF!</v>
      </c>
      <c r="J93" s="164"/>
      <c r="K93" s="155" t="s">
        <v>170</v>
      </c>
      <c r="L93" s="166">
        <v>0.09</v>
      </c>
      <c r="M93" s="165" t="e">
        <v>#DIV/0!</v>
      </c>
      <c r="N93" s="165" t="e">
        <v>#DIV/0!</v>
      </c>
      <c r="O93" s="165" t="e">
        <v>#DIV/0!</v>
      </c>
      <c r="P93" s="165" t="e">
        <v>#DIV/0!</v>
      </c>
      <c r="Q93" s="165" t="e">
        <v>#DIV/0!</v>
      </c>
    </row>
    <row r="94" spans="2:17" ht="15" customHeight="1" x14ac:dyDescent="0.25">
      <c r="B94" s="151"/>
      <c r="D94" s="162">
        <f t="shared" ref="D94:D95" si="5">D93-0.01</f>
        <v>0.08</v>
      </c>
      <c r="E94" s="163" t="e">
        <v>#REF!</v>
      </c>
      <c r="F94" s="163" t="e">
        <v>#REF!</v>
      </c>
      <c r="G94" s="163" t="e">
        <v>#REF!</v>
      </c>
      <c r="H94" s="163" t="e">
        <v>#REF!</v>
      </c>
      <c r="I94" s="163" t="e">
        <v>#REF!</v>
      </c>
      <c r="J94" s="164"/>
      <c r="L94" s="162">
        <f t="shared" ref="L94:L95" si="6">L93-0.01</f>
        <v>0.08</v>
      </c>
      <c r="M94" s="165" t="e">
        <v>#DIV/0!</v>
      </c>
      <c r="N94" s="165" t="e">
        <v>#DIV/0!</v>
      </c>
      <c r="O94" s="165" t="e">
        <v>#DIV/0!</v>
      </c>
      <c r="P94" s="165" t="e">
        <v>#DIV/0!</v>
      </c>
      <c r="Q94" s="165" t="e">
        <v>#DIV/0!</v>
      </c>
    </row>
    <row r="95" spans="2:17" ht="15" customHeight="1" x14ac:dyDescent="0.25">
      <c r="B95" s="167" t="s">
        <v>171</v>
      </c>
      <c r="D95" s="168">
        <f t="shared" si="5"/>
        <v>7.0000000000000007E-2</v>
      </c>
      <c r="E95" s="163" t="e">
        <v>#REF!</v>
      </c>
      <c r="F95" s="163" t="e">
        <v>#REF!</v>
      </c>
      <c r="G95" s="163" t="e">
        <v>#REF!</v>
      </c>
      <c r="H95" s="163" t="e">
        <v>#REF!</v>
      </c>
      <c r="I95" s="163" t="e">
        <v>#REF!</v>
      </c>
      <c r="J95" s="164"/>
      <c r="L95" s="168">
        <f t="shared" si="6"/>
        <v>7.0000000000000007E-2</v>
      </c>
      <c r="M95" s="165" t="e">
        <v>#DIV/0!</v>
      </c>
      <c r="N95" s="165" t="e">
        <v>#DIV/0!</v>
      </c>
      <c r="O95" s="165" t="e">
        <v>#DIV/0!</v>
      </c>
      <c r="P95" s="165" t="e">
        <v>#DIV/0!</v>
      </c>
      <c r="Q95" s="165" t="e">
        <v>#DIV/0!</v>
      </c>
    </row>
    <row r="96" spans="2:17" ht="15" customHeight="1" x14ac:dyDescent="0.25">
      <c r="B96" s="167" t="s">
        <v>172</v>
      </c>
      <c r="E96" s="169"/>
      <c r="F96" s="169"/>
      <c r="G96" s="169"/>
      <c r="H96" s="169"/>
      <c r="I96" s="169"/>
      <c r="J96" s="170"/>
    </row>
    <row r="97" spans="2:17" ht="17.25" customHeight="1" x14ac:dyDescent="0.4">
      <c r="B97" s="151"/>
      <c r="D97" s="152" t="s">
        <v>162</v>
      </c>
      <c r="E97" s="50"/>
      <c r="F97" s="50"/>
      <c r="G97" s="50"/>
      <c r="H97" s="50"/>
      <c r="I97" s="50"/>
      <c r="J97" s="153"/>
      <c r="L97" s="152" t="s">
        <v>426</v>
      </c>
      <c r="M97" s="50"/>
      <c r="N97" s="50"/>
      <c r="O97" s="50"/>
      <c r="P97" s="50"/>
      <c r="Q97" s="50"/>
    </row>
    <row r="98" spans="2:17" ht="15" customHeight="1" x14ac:dyDescent="0.25">
      <c r="B98" s="151"/>
      <c r="E98" s="2" t="s">
        <v>173</v>
      </c>
      <c r="F98" s="2"/>
      <c r="G98" s="2"/>
      <c r="H98" s="2"/>
      <c r="I98" s="2"/>
      <c r="J98" s="154"/>
      <c r="M98" s="2" t="s">
        <v>173</v>
      </c>
      <c r="N98" s="2"/>
      <c r="O98" s="2"/>
      <c r="P98" s="2"/>
      <c r="Q98" s="2"/>
    </row>
    <row r="99" spans="2:17" ht="15" customHeight="1" x14ac:dyDescent="0.25">
      <c r="B99" s="151"/>
      <c r="D99" s="171" t="e">
        <f>D73</f>
        <v>#REF!</v>
      </c>
      <c r="E99" s="172">
        <f>F99-1</f>
        <v>11</v>
      </c>
      <c r="F99" s="172">
        <f>G99-1</f>
        <v>12</v>
      </c>
      <c r="G99" s="173">
        <v>13</v>
      </c>
      <c r="H99" s="172">
        <f>G99+1</f>
        <v>14</v>
      </c>
      <c r="I99" s="172">
        <f>H99+1</f>
        <v>15</v>
      </c>
      <c r="J99" s="174"/>
      <c r="L99" s="161" t="e">
        <f>D78</f>
        <v>#DIV/0!</v>
      </c>
      <c r="M99" s="172">
        <f>N99-1</f>
        <v>11</v>
      </c>
      <c r="N99" s="172">
        <f>O99-1</f>
        <v>12</v>
      </c>
      <c r="O99" s="173">
        <v>13</v>
      </c>
      <c r="P99" s="172">
        <f>O99+1</f>
        <v>14</v>
      </c>
      <c r="Q99" s="354">
        <f>P99+1</f>
        <v>15</v>
      </c>
    </row>
    <row r="100" spans="2:17" ht="15" customHeight="1" x14ac:dyDescent="0.25">
      <c r="B100" s="151"/>
      <c r="D100" s="162">
        <f t="shared" ref="D100" si="7">D101+0.01</f>
        <v>0.10999999999999999</v>
      </c>
      <c r="E100" s="163" t="e">
        <f t="dataTable" ref="E100:I104" dt2D="1" dtr="1" r1="I43" r2="H4"/>
        <v>#REF!</v>
      </c>
      <c r="F100" s="163" t="e">
        <v>#REF!</v>
      </c>
      <c r="G100" s="163" t="e">
        <v>#REF!</v>
      </c>
      <c r="H100" s="163" t="e">
        <v>#REF!</v>
      </c>
      <c r="I100" s="163" t="e">
        <v>#REF!</v>
      </c>
      <c r="J100" s="164"/>
      <c r="L100" s="162">
        <f t="shared" ref="L100" si="8">L101+0.01</f>
        <v>0.10999999999999999</v>
      </c>
      <c r="M100" s="165" t="e">
        <f t="dataTable" ref="M100:Q104" dt2D="1" dtr="1" r1="I43" r2="H4" ca="1"/>
        <v>#DIV/0!</v>
      </c>
      <c r="N100" s="165" t="e">
        <v>#DIV/0!</v>
      </c>
      <c r="O100" s="165" t="e">
        <v>#DIV/0!</v>
      </c>
      <c r="P100" s="165" t="e">
        <v>#DIV/0!</v>
      </c>
      <c r="Q100" s="165" t="e">
        <v>#DIV/0!</v>
      </c>
    </row>
    <row r="101" spans="2:17" ht="15" customHeight="1" x14ac:dyDescent="0.25">
      <c r="B101" s="151"/>
      <c r="D101" s="162">
        <f>D102+0.01</f>
        <v>9.9999999999999992E-2</v>
      </c>
      <c r="E101" s="163" t="e">
        <v>#REF!</v>
      </c>
      <c r="F101" s="163" t="e">
        <v>#REF!</v>
      </c>
      <c r="G101" s="163" t="e">
        <v>#REF!</v>
      </c>
      <c r="H101" s="163" t="e">
        <v>#REF!</v>
      </c>
      <c r="I101" s="163" t="e">
        <v>#REF!</v>
      </c>
      <c r="J101" s="164"/>
      <c r="L101" s="162">
        <f>L102+0.01</f>
        <v>9.9999999999999992E-2</v>
      </c>
      <c r="M101" s="165" t="e">
        <v>#DIV/0!</v>
      </c>
      <c r="N101" s="165" t="e">
        <v>#DIV/0!</v>
      </c>
      <c r="O101" s="165" t="e">
        <v>#DIV/0!</v>
      </c>
      <c r="P101" s="165" t="e">
        <v>#DIV/0!</v>
      </c>
      <c r="Q101" s="165" t="e">
        <v>#DIV/0!</v>
      </c>
    </row>
    <row r="102" spans="2:17" ht="15" customHeight="1" x14ac:dyDescent="0.25">
      <c r="B102" s="151"/>
      <c r="C102" s="155" t="s">
        <v>170</v>
      </c>
      <c r="D102" s="166">
        <v>0.09</v>
      </c>
      <c r="E102" s="163" t="e">
        <v>#REF!</v>
      </c>
      <c r="F102" s="163" t="e">
        <v>#REF!</v>
      </c>
      <c r="G102" s="163" t="e">
        <v>#REF!</v>
      </c>
      <c r="H102" s="163" t="e">
        <v>#REF!</v>
      </c>
      <c r="I102" s="163" t="e">
        <v>#REF!</v>
      </c>
      <c r="J102" s="164"/>
      <c r="K102" s="155" t="s">
        <v>170</v>
      </c>
      <c r="L102" s="166">
        <v>0.09</v>
      </c>
      <c r="M102" s="165" t="e">
        <v>#DIV/0!</v>
      </c>
      <c r="N102" s="165" t="e">
        <v>#DIV/0!</v>
      </c>
      <c r="O102" s="165" t="e">
        <v>#DIV/0!</v>
      </c>
      <c r="P102" s="165" t="e">
        <v>#DIV/0!</v>
      </c>
      <c r="Q102" s="165" t="e">
        <v>#DIV/0!</v>
      </c>
    </row>
    <row r="103" spans="2:17" ht="15" customHeight="1" x14ac:dyDescent="0.25">
      <c r="B103" s="151"/>
      <c r="D103" s="162">
        <f t="shared" ref="D103:D104" si="9">D102-0.01</f>
        <v>0.08</v>
      </c>
      <c r="E103" s="163" t="e">
        <v>#REF!</v>
      </c>
      <c r="F103" s="163" t="e">
        <v>#REF!</v>
      </c>
      <c r="G103" s="163" t="e">
        <v>#REF!</v>
      </c>
      <c r="H103" s="163" t="e">
        <v>#REF!</v>
      </c>
      <c r="I103" s="163" t="e">
        <v>#REF!</v>
      </c>
      <c r="J103" s="164"/>
      <c r="L103" s="162">
        <f t="shared" ref="L103:L104" si="10">L102-0.01</f>
        <v>0.08</v>
      </c>
      <c r="M103" s="165" t="e">
        <v>#DIV/0!</v>
      </c>
      <c r="N103" s="165" t="e">
        <v>#DIV/0!</v>
      </c>
      <c r="O103" s="165" t="e">
        <v>#DIV/0!</v>
      </c>
      <c r="P103" s="165" t="e">
        <v>#DIV/0!</v>
      </c>
      <c r="Q103" s="165" t="e">
        <v>#DIV/0!</v>
      </c>
    </row>
    <row r="104" spans="2:17" ht="15" customHeight="1" x14ac:dyDescent="0.25">
      <c r="B104" s="151"/>
      <c r="D104" s="168">
        <f t="shared" si="9"/>
        <v>7.0000000000000007E-2</v>
      </c>
      <c r="E104" s="163" t="e">
        <v>#REF!</v>
      </c>
      <c r="F104" s="163" t="e">
        <v>#REF!</v>
      </c>
      <c r="G104" s="163" t="e">
        <v>#REF!</v>
      </c>
      <c r="H104" s="163" t="e">
        <v>#REF!</v>
      </c>
      <c r="I104" s="163" t="e">
        <v>#REF!</v>
      </c>
      <c r="J104" s="164"/>
      <c r="L104" s="168">
        <f t="shared" si="10"/>
        <v>7.0000000000000007E-2</v>
      </c>
      <c r="M104" s="165" t="e">
        <v>#DIV/0!</v>
      </c>
      <c r="N104" s="165" t="e">
        <v>#DIV/0!</v>
      </c>
      <c r="O104" s="165" t="e">
        <v>#DIV/0!</v>
      </c>
      <c r="P104" s="165" t="e">
        <v>#DIV/0!</v>
      </c>
      <c r="Q104" s="165" t="e">
        <v>#DIV/0!</v>
      </c>
    </row>
    <row r="105" spans="2:17" x14ac:dyDescent="0.25">
      <c r="J105" s="175"/>
    </row>
    <row r="106" spans="2:17" x14ac:dyDescent="0.25">
      <c r="B106" s="176" t="s">
        <v>174</v>
      </c>
      <c r="C106" s="176"/>
      <c r="D106" s="176"/>
      <c r="E106" s="176"/>
      <c r="G106" s="176" t="s">
        <v>175</v>
      </c>
      <c r="H106" s="176"/>
      <c r="I106" s="176"/>
      <c r="J106" s="177"/>
      <c r="K106" s="176"/>
      <c r="L106" s="176"/>
      <c r="M106" s="176"/>
      <c r="N106" s="176"/>
      <c r="O106" s="176"/>
      <c r="P106" s="176"/>
    </row>
    <row r="107" spans="2:17" x14ac:dyDescent="0.25">
      <c r="J107" s="175"/>
    </row>
    <row r="108" spans="2:17" x14ac:dyDescent="0.25">
      <c r="J108" s="175"/>
    </row>
    <row r="109" spans="2:17" x14ac:dyDescent="0.25">
      <c r="J109" s="175"/>
    </row>
    <row r="110" spans="2:17" x14ac:dyDescent="0.25">
      <c r="J110" s="175"/>
    </row>
    <row r="111" spans="2:17" x14ac:dyDescent="0.25">
      <c r="J111" s="175"/>
    </row>
    <row r="112" spans="2:17" x14ac:dyDescent="0.25">
      <c r="J112" s="175"/>
    </row>
    <row r="113" spans="2:17" x14ac:dyDescent="0.25">
      <c r="J113" s="175"/>
    </row>
    <row r="114" spans="2:17" x14ac:dyDescent="0.25">
      <c r="J114" s="175"/>
    </row>
    <row r="115" spans="2:17" x14ac:dyDescent="0.25">
      <c r="J115" s="175"/>
    </row>
    <row r="116" spans="2:17" x14ac:dyDescent="0.25">
      <c r="J116" s="175"/>
    </row>
    <row r="117" spans="2:17" x14ac:dyDescent="0.25">
      <c r="J117" s="175"/>
    </row>
    <row r="118" spans="2:17" x14ac:dyDescent="0.25">
      <c r="J118" s="175"/>
    </row>
    <row r="119" spans="2:17" x14ac:dyDescent="0.25">
      <c r="J119" s="175"/>
    </row>
    <row r="120" spans="2:17" x14ac:dyDescent="0.25">
      <c r="J120" s="175"/>
      <c r="M120" s="178"/>
    </row>
    <row r="121" spans="2:17" x14ac:dyDescent="0.25">
      <c r="J121" s="175"/>
    </row>
    <row r="122" spans="2:17" x14ac:dyDescent="0.25">
      <c r="J122" s="175"/>
    </row>
    <row r="123" spans="2:17" x14ac:dyDescent="0.25">
      <c r="J123" s="175"/>
    </row>
    <row r="124" spans="2:17" x14ac:dyDescent="0.25">
      <c r="J124" s="175"/>
    </row>
    <row r="125" spans="2:17" x14ac:dyDescent="0.25">
      <c r="J125" s="175"/>
    </row>
    <row r="126" spans="2:17" x14ac:dyDescent="0.25">
      <c r="J126" s="175"/>
    </row>
    <row r="127" spans="2:17" x14ac:dyDescent="0.25">
      <c r="B127" s="179"/>
      <c r="C127" s="180" t="s">
        <v>176</v>
      </c>
      <c r="D127" s="180" t="s">
        <v>177</v>
      </c>
      <c r="E127" s="181" t="s">
        <v>178</v>
      </c>
      <c r="G127" s="179"/>
      <c r="H127" s="182"/>
      <c r="I127" s="182"/>
      <c r="J127" s="183"/>
      <c r="K127" s="182"/>
      <c r="L127" s="182"/>
      <c r="M127" s="182"/>
      <c r="N127" s="182"/>
      <c r="O127" s="180" t="s">
        <v>176</v>
      </c>
      <c r="P127" s="180" t="s">
        <v>177</v>
      </c>
      <c r="Q127" s="181" t="s">
        <v>178</v>
      </c>
    </row>
    <row r="128" spans="2:17" x14ac:dyDescent="0.25">
      <c r="B128" s="184" t="str">
        <f>"DCF Value at "&amp;TEXT(E99,"0.0x")&amp;"-"&amp;TEXT(I99,"0.0x")&amp;" Exit EBITDA Range at "&amp;TEXT(D102,"0.0%")&amp;" WACC"</f>
        <v>DCF Value at 11.0x-15.0x Exit EBITDA Range at 9.0% WACC</v>
      </c>
      <c r="C128" s="185" t="e">
        <f>E102</f>
        <v>#REF!</v>
      </c>
      <c r="D128" s="185" t="e">
        <f>E128-C128</f>
        <v>#REF!</v>
      </c>
      <c r="E128" s="186" t="e">
        <f>I102</f>
        <v>#REF!</v>
      </c>
      <c r="G128" s="184" t="str">
        <f>"LTM EBITDA Purchase Multiple at "&amp;TEXT(M90,"0.0%")&amp;"-"&amp;TEXT(Q90,"0.0%")&amp;" Perpetuity Growth at "&amp;TEXT(L93,"0.0%")&amp;" WACC"</f>
        <v>LTM EBITDA Purchase Multiple at 2.0%-4.0% Perpetuity Growth at 9.0% WACC</v>
      </c>
      <c r="J128" s="175"/>
      <c r="O128" s="187" t="e">
        <f>M93</f>
        <v>#DIV/0!</v>
      </c>
      <c r="P128" s="187" t="e">
        <f>Q128-O128</f>
        <v>#DIV/0!</v>
      </c>
      <c r="Q128" s="188" t="e">
        <f>Q93</f>
        <v>#DIV/0!</v>
      </c>
    </row>
    <row r="129" spans="2:17" x14ac:dyDescent="0.25">
      <c r="B129" s="189" t="str">
        <f>"DCF Value at "&amp;TEXT(E90,"0.0%")&amp;"-"&amp;TEXT(I90,"0.0%")&amp;" Perpetuity Range at "&amp;TEXT(D102,"0.0%")&amp;" WACC"</f>
        <v>DCF Value at 2.0%-4.0% Perpetuity Range at 9.0% WACC</v>
      </c>
      <c r="C129" s="185" t="e">
        <f>E93</f>
        <v>#REF!</v>
      </c>
      <c r="D129" s="185" t="e">
        <f>E129-C129</f>
        <v>#REF!</v>
      </c>
      <c r="E129" s="186" t="e">
        <f>I93</f>
        <v>#REF!</v>
      </c>
      <c r="G129" s="189" t="e">
        <f>"LTM EBITDA Purchase Multiple at "&amp;TEXT(M102,"0.0x")&amp;"-"&amp;TEXT(Q102,"0.0x")&amp;" Exit EBITDA Multiple at "&amp;TEXT(L102,"0.0%")&amp;" WACC"</f>
        <v>#DIV/0!</v>
      </c>
      <c r="J129" s="175"/>
      <c r="O129" s="187" t="e">
        <f>M102</f>
        <v>#DIV/0!</v>
      </c>
      <c r="P129" s="187" t="e">
        <f>Q129-O129</f>
        <v>#DIV/0!</v>
      </c>
      <c r="Q129" s="188" t="e">
        <f>Q102</f>
        <v>#DIV/0!</v>
      </c>
    </row>
    <row r="130" spans="2:17" x14ac:dyDescent="0.25">
      <c r="B130" s="190" t="s">
        <v>179</v>
      </c>
      <c r="C130" s="191">
        <v>169.5</v>
      </c>
      <c r="D130" s="195">
        <f>E130-C130</f>
        <v>158.35000000000002</v>
      </c>
      <c r="E130" s="192">
        <v>327.85</v>
      </c>
      <c r="G130" s="190" t="str">
        <f>"LTM EBITDA Purchase Multiple at "&amp;TEXT(L104,"0.0%")&amp;"-"&amp;TEXT(L100,"0.0%")&amp;" WACC at "&amp;TEXT(O99,"0.0x")&amp;" Exit EBITDA"</f>
        <v>LTM EBITDA Purchase Multiple at 7.0%-11.0% WACC at 13.0x Exit EBITDA</v>
      </c>
      <c r="H130" s="193"/>
      <c r="I130" s="193"/>
      <c r="J130" s="194"/>
      <c r="K130" s="193"/>
      <c r="L130" s="193"/>
      <c r="M130" s="193"/>
      <c r="N130" s="193"/>
      <c r="O130" s="195" t="e">
        <f>O100</f>
        <v>#DIV/0!</v>
      </c>
      <c r="P130" s="195" t="e">
        <f>Q130-O130</f>
        <v>#DIV/0!</v>
      </c>
      <c r="Q130" s="196" t="e">
        <f>O104</f>
        <v>#DIV/0!</v>
      </c>
    </row>
    <row r="131" spans="2:17" x14ac:dyDescent="0.25">
      <c r="J131" s="175"/>
    </row>
    <row r="132" spans="2:17" x14ac:dyDescent="0.25">
      <c r="J132" s="175"/>
    </row>
  </sheetData>
  <conditionalFormatting sqref="E91:J95 E100:J104">
    <cfRule type="cellIs" dxfId="1" priority="1" operator="lessThan">
      <formula>$C$7</formula>
    </cfRule>
  </conditionalFormatting>
  <dataValidations count="1">
    <dataValidation type="list" allowBlank="1" showInputMessage="1" showErrorMessage="1" sqref="H7" xr:uid="{20808614-EA85-495A-B2B6-75E9244DD198}">
      <formula1>"0,1"</formula1>
    </dataValidation>
  </dataValidation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3A6D8-EA93-42E9-9F51-0C51F02EE23A}">
  <sheetPr>
    <tabColor theme="4"/>
  </sheetPr>
  <dimension ref="B1:Q132"/>
  <sheetViews>
    <sheetView zoomScaleNormal="100" workbookViewId="0">
      <selection activeCell="D7" sqref="D7"/>
    </sheetView>
  </sheetViews>
  <sheetFormatPr defaultColWidth="9.140625" defaultRowHeight="15" x14ac:dyDescent="0.25"/>
  <cols>
    <col min="1" max="1" width="1.42578125" customWidth="1"/>
    <col min="2" max="2" width="54.42578125" customWidth="1"/>
    <col min="3" max="3" width="13.42578125" customWidth="1"/>
    <col min="4" max="9" width="12.7109375" customWidth="1"/>
    <col min="10" max="10" width="1.7109375" customWidth="1"/>
    <col min="11" max="11" width="12.140625" bestFit="1" customWidth="1"/>
    <col min="12" max="16" width="9.42578125" customWidth="1"/>
  </cols>
  <sheetData>
    <row r="1" spans="2:10" ht="15.75" thickBot="1" x14ac:dyDescent="0.3"/>
    <row r="2" spans="2:10" ht="15.75" thickBot="1" x14ac:dyDescent="0.3">
      <c r="B2" s="47" t="s">
        <v>83</v>
      </c>
      <c r="C2" s="48"/>
      <c r="D2" s="48"/>
      <c r="E2" s="48"/>
      <c r="F2" s="48"/>
      <c r="G2" s="48"/>
      <c r="H2" s="48"/>
      <c r="I2" s="48"/>
    </row>
    <row r="3" spans="2:10" x14ac:dyDescent="0.25">
      <c r="B3" s="61" t="str">
        <f>'Financials '!$B$3</f>
        <v xml:space="preserve">$ and shares in millions, except per share data </v>
      </c>
    </row>
    <row r="4" spans="2:10" x14ac:dyDescent="0.25">
      <c r="B4" t="s">
        <v>84</v>
      </c>
      <c r="D4" s="343">
        <v>43736</v>
      </c>
      <c r="F4" t="s">
        <v>85</v>
      </c>
      <c r="H4" s="268">
        <f>'WACC Done'!E21</f>
        <v>7.7864310730353978E-2</v>
      </c>
      <c r="I4" t="s">
        <v>416</v>
      </c>
    </row>
    <row r="5" spans="2:10" x14ac:dyDescent="0.25">
      <c r="B5" t="s">
        <v>86</v>
      </c>
      <c r="D5" s="344">
        <f>EOMONTH(D4,12)</f>
        <v>44104</v>
      </c>
      <c r="F5" t="s">
        <v>87</v>
      </c>
      <c r="H5" s="198">
        <v>273.52</v>
      </c>
      <c r="I5" t="s">
        <v>417</v>
      </c>
    </row>
    <row r="6" spans="2:10" x14ac:dyDescent="0.25">
      <c r="B6" t="s">
        <v>88</v>
      </c>
      <c r="D6" s="343">
        <v>43827</v>
      </c>
      <c r="F6" t="s">
        <v>89</v>
      </c>
      <c r="H6" s="199">
        <v>43888</v>
      </c>
      <c r="J6" s="67"/>
    </row>
    <row r="7" spans="2:10" x14ac:dyDescent="0.25">
      <c r="B7" t="s">
        <v>90</v>
      </c>
      <c r="D7" s="343">
        <v>43889</v>
      </c>
      <c r="F7" t="s">
        <v>91</v>
      </c>
      <c r="H7" s="210">
        <v>0</v>
      </c>
      <c r="I7" s="67"/>
      <c r="J7" s="67"/>
    </row>
    <row r="8" spans="2:10" x14ac:dyDescent="0.25">
      <c r="B8" t="s">
        <v>418</v>
      </c>
      <c r="D8" s="59">
        <f>YEARFRAC(D7,D5)</f>
        <v>0.58888888888888891</v>
      </c>
    </row>
    <row r="9" spans="2:10" x14ac:dyDescent="0.25">
      <c r="D9" s="70"/>
      <c r="F9" t="s">
        <v>419</v>
      </c>
      <c r="H9" s="70" t="str">
        <f>'2019 FSM Update Complete'!L5</f>
        <v>Base case</v>
      </c>
    </row>
    <row r="10" spans="2:10" x14ac:dyDescent="0.25">
      <c r="B10" s="51" t="s">
        <v>93</v>
      </c>
      <c r="C10" s="71"/>
      <c r="D10" s="72"/>
      <c r="F10" s="71"/>
      <c r="G10" s="71"/>
      <c r="H10" s="71"/>
      <c r="I10" s="71"/>
    </row>
    <row r="11" spans="2:10" ht="17.25" customHeight="1" x14ac:dyDescent="0.4">
      <c r="C11" s="50" t="s">
        <v>32</v>
      </c>
      <c r="D11" s="50" t="s">
        <v>72</v>
      </c>
      <c r="E11" s="73" t="s">
        <v>94</v>
      </c>
      <c r="F11" s="50"/>
      <c r="G11" s="50"/>
      <c r="H11" s="50"/>
      <c r="I11" s="50"/>
    </row>
    <row r="12" spans="2:10" x14ac:dyDescent="0.25">
      <c r="B12" s="24" t="s">
        <v>95</v>
      </c>
      <c r="C12" s="74">
        <f>D7</f>
        <v>43889</v>
      </c>
      <c r="D12" s="201">
        <f>D4</f>
        <v>43736</v>
      </c>
      <c r="E12" s="345">
        <f>EOMONTH(D12,12)</f>
        <v>44104</v>
      </c>
      <c r="F12" s="346">
        <f>EOMONTH(E12,12)</f>
        <v>44469</v>
      </c>
      <c r="G12" s="346">
        <f t="shared" ref="G12:I12" si="0">EOMONTH(F12,12)</f>
        <v>44834</v>
      </c>
      <c r="H12" s="346">
        <f t="shared" si="0"/>
        <v>45199</v>
      </c>
      <c r="I12" s="346">
        <f t="shared" si="0"/>
        <v>45565</v>
      </c>
    </row>
    <row r="13" spans="2:10" x14ac:dyDescent="0.25">
      <c r="B13" s="24"/>
      <c r="D13" s="77"/>
      <c r="E13" s="78"/>
      <c r="F13" s="78"/>
      <c r="G13" s="78"/>
      <c r="H13" s="78"/>
      <c r="I13" s="78"/>
    </row>
    <row r="14" spans="2:10" x14ac:dyDescent="0.25">
      <c r="B14" t="s">
        <v>2</v>
      </c>
      <c r="C14" s="79">
        <f ca="1">+E14*(1-$D$8)+D14*$D$8</f>
        <v>266591.62533333333</v>
      </c>
      <c r="D14" s="86">
        <f>'2019 FSM Update Complete'!G17</f>
        <v>260174</v>
      </c>
      <c r="E14" s="87">
        <f ca="1">'2019 FSM Update Complete'!H17</f>
        <v>275784.44</v>
      </c>
      <c r="F14" s="87">
        <f ca="1">'2019 FSM Update Complete'!I17</f>
        <v>294813.56636</v>
      </c>
      <c r="G14" s="87">
        <f ca="1">'2019 FSM Update Complete'!J17</f>
        <v>315155.70243884</v>
      </c>
      <c r="H14" s="87">
        <f ca="1">'2019 FSM Update Complete'!K17</f>
        <v>336901.44590711995</v>
      </c>
      <c r="I14" s="87">
        <f ca="1">'2019 FSM Update Complete'!L17</f>
        <v>360147.64567471121</v>
      </c>
    </row>
    <row r="15" spans="2:10" x14ac:dyDescent="0.25">
      <c r="B15" s="54" t="s">
        <v>97</v>
      </c>
      <c r="D15" s="204"/>
      <c r="E15" s="59">
        <f ca="1">E14/D14-1</f>
        <v>6.0000000000000053E-2</v>
      </c>
      <c r="F15" s="59">
        <f ca="1">F14/E14-1</f>
        <v>6.899999999999995E-2</v>
      </c>
      <c r="G15" s="59">
        <f ca="1">G14/F14-1</f>
        <v>6.899999999999995E-2</v>
      </c>
      <c r="H15" s="59">
        <f ca="1">H14/G14-1</f>
        <v>6.899999999999995E-2</v>
      </c>
      <c r="I15" s="59">
        <f ca="1">I14/H14-1</f>
        <v>6.899999999999995E-2</v>
      </c>
    </row>
    <row r="16" spans="2:10" x14ac:dyDescent="0.25">
      <c r="B16" t="s">
        <v>98</v>
      </c>
      <c r="C16" s="79">
        <f ca="1">+E16*(1-$D$8)+D16*$D$8</f>
        <v>77781.991360565225</v>
      </c>
      <c r="D16" s="86">
        <f>'2019 FSM Update Complete'!G31</f>
        <v>76477</v>
      </c>
      <c r="E16" s="87">
        <f ca="1">'2019 FSM Update Complete'!H31</f>
        <v>79651.303309482973</v>
      </c>
      <c r="F16" s="87">
        <f ca="1">'2019 FSM Update Complete'!I31</f>
        <v>84942.390585247267</v>
      </c>
      <c r="G16" s="87">
        <f ca="1">'2019 FSM Update Complete'!J31</f>
        <v>91086.46193482932</v>
      </c>
      <c r="H16" s="87">
        <f ca="1">'2019 FSM Update Complete'!K31</f>
        <v>97674.004409077344</v>
      </c>
      <c r="I16" s="87">
        <f ca="1">'2019 FSM Update Complete'!L31</f>
        <v>104736.96509949987</v>
      </c>
    </row>
    <row r="17" spans="2:13" x14ac:dyDescent="0.25">
      <c r="B17" s="54" t="s">
        <v>77</v>
      </c>
      <c r="D17" s="205">
        <f t="shared" ref="D17:I17" si="1">D16/D14</f>
        <v>0.29394559025882677</v>
      </c>
      <c r="E17" s="59">
        <f t="shared" ca="1" si="1"/>
        <v>0.28881724911486295</v>
      </c>
      <c r="F17" s="59">
        <f t="shared" ca="1" si="1"/>
        <v>0.28812239421005209</v>
      </c>
      <c r="G17" s="59">
        <f t="shared" ca="1" si="1"/>
        <v>0.28902051027461834</v>
      </c>
      <c r="H17" s="59">
        <f t="shared" ca="1" si="1"/>
        <v>0.28991862633918469</v>
      </c>
      <c r="I17" s="59">
        <f t="shared" ca="1" si="1"/>
        <v>0.29081674240375099</v>
      </c>
    </row>
    <row r="18" spans="2:13" x14ac:dyDescent="0.25">
      <c r="B18" t="s">
        <v>78</v>
      </c>
      <c r="C18" s="79">
        <f ca="1">+E18*(1-$D$8)+D18*$D$8</f>
        <v>65538.666365333338</v>
      </c>
      <c r="D18" s="86">
        <f>'2019 FSM Update Complete'!G22</f>
        <v>63930</v>
      </c>
      <c r="E18" s="87">
        <f ca="1">'2019 FSM Update Complete'!H22</f>
        <v>67842.972240000003</v>
      </c>
      <c r="F18" s="87">
        <f ca="1">'2019 FSM Update Complete'!I22</f>
        <v>72524.137324559997</v>
      </c>
      <c r="G18" s="87">
        <f ca="1">'2019 FSM Update Complete'!J22</f>
        <v>77528.302799954632</v>
      </c>
      <c r="H18" s="87">
        <f ca="1">'2019 FSM Update Complete'!K22</f>
        <v>82877.755693151499</v>
      </c>
      <c r="I18" s="87">
        <f ca="1">'2019 FSM Update Complete'!L22</f>
        <v>88596.320835978957</v>
      </c>
    </row>
    <row r="19" spans="2:13" x14ac:dyDescent="0.25">
      <c r="B19" s="54" t="s">
        <v>77</v>
      </c>
      <c r="D19" s="205">
        <f>D18/D14</f>
        <v>0.24572017188496928</v>
      </c>
      <c r="E19" s="59">
        <f t="shared" ref="E19:I19" ca="1" si="2">E18/E14</f>
        <v>0.246</v>
      </c>
      <c r="F19" s="59">
        <f t="shared" ca="1" si="2"/>
        <v>0.246</v>
      </c>
      <c r="G19" s="59">
        <f t="shared" ca="1" si="2"/>
        <v>0.24599999999999997</v>
      </c>
      <c r="H19" s="59">
        <f t="shared" ca="1" si="2"/>
        <v>0.24599999999999997</v>
      </c>
      <c r="I19" s="59">
        <f t="shared" ca="1" si="2"/>
        <v>0.246</v>
      </c>
    </row>
    <row r="20" spans="2:13" x14ac:dyDescent="0.25">
      <c r="B20" s="54"/>
      <c r="D20" s="86"/>
      <c r="E20" s="87"/>
      <c r="F20" s="87"/>
      <c r="G20" s="87"/>
      <c r="H20" s="87"/>
      <c r="I20" s="87"/>
    </row>
    <row r="21" spans="2:13" x14ac:dyDescent="0.25">
      <c r="B21" t="s">
        <v>101</v>
      </c>
      <c r="D21" s="91">
        <f>D22*D18</f>
        <v>10192.894868947473</v>
      </c>
      <c r="E21" s="79">
        <f t="shared" ref="E21:I21" ca="1" si="3">E22*E18</f>
        <v>10816.772777088096</v>
      </c>
      <c r="F21" s="79">
        <f t="shared" ca="1" si="3"/>
        <v>11563.130098707172</v>
      </c>
      <c r="G21" s="79">
        <f t="shared" ca="1" si="3"/>
        <v>12360.986075517967</v>
      </c>
      <c r="H21" s="79">
        <f t="shared" ca="1" si="3"/>
        <v>13213.894114728706</v>
      </c>
      <c r="I21" s="79">
        <f t="shared" ca="1" si="3"/>
        <v>14125.652808644987</v>
      </c>
    </row>
    <row r="22" spans="2:13" ht="15" customHeight="1" x14ac:dyDescent="0.25">
      <c r="B22" s="54" t="s">
        <v>79</v>
      </c>
      <c r="D22" s="355">
        <f>'2019 FSM Update Complete'!G40</f>
        <v>0.15943836804235059</v>
      </c>
      <c r="E22" s="355">
        <f>'2019 FSM Update Complete'!H40</f>
        <v>0.15943836804235059</v>
      </c>
      <c r="F22" s="268">
        <f>'2019 FSM Update Complete'!I40</f>
        <v>0.15943836804235059</v>
      </c>
      <c r="G22" s="268">
        <f>'2019 FSM Update Complete'!J40</f>
        <v>0.15943836804235059</v>
      </c>
      <c r="H22" s="268">
        <f>'2019 FSM Update Complete'!K40</f>
        <v>0.15943836804235059</v>
      </c>
      <c r="I22" s="268">
        <f>'2019 FSM Update Complete'!L40</f>
        <v>0.15943836804235059</v>
      </c>
    </row>
    <row r="23" spans="2:13" x14ac:dyDescent="0.25">
      <c r="B23" s="11" t="s">
        <v>103</v>
      </c>
      <c r="C23" s="11"/>
      <c r="D23" s="356">
        <f t="shared" ref="D23:I23" si="4">D18*(1-D22)</f>
        <v>53737.105131052529</v>
      </c>
      <c r="E23" s="98">
        <f t="shared" ca="1" si="4"/>
        <v>57026.199462911907</v>
      </c>
      <c r="F23" s="98">
        <f t="shared" ca="1" si="4"/>
        <v>60961.007225852823</v>
      </c>
      <c r="G23" s="98">
        <f t="shared" ca="1" si="4"/>
        <v>65167.31672443667</v>
      </c>
      <c r="H23" s="98">
        <f t="shared" ca="1" si="4"/>
        <v>69663.861578422802</v>
      </c>
      <c r="I23" s="98">
        <f t="shared" ca="1" si="4"/>
        <v>74470.668027333973</v>
      </c>
    </row>
    <row r="24" spans="2:13" x14ac:dyDescent="0.25">
      <c r="D24" s="79"/>
      <c r="E24" s="79"/>
      <c r="F24" s="79"/>
      <c r="G24" s="79"/>
      <c r="H24" s="79"/>
      <c r="I24" s="79"/>
    </row>
    <row r="25" spans="2:13" x14ac:dyDescent="0.25">
      <c r="B25" t="s">
        <v>105</v>
      </c>
      <c r="D25" s="87">
        <f>'2019 FSM Update Complete'!G30</f>
        <v>12547</v>
      </c>
      <c r="E25" s="87">
        <f ca="1">'2019 FSM Update Complete'!H30</f>
        <v>11808.331069482967</v>
      </c>
      <c r="F25" s="87">
        <f ca="1">'2019 FSM Update Complete'!I30</f>
        <v>12418.253260687266</v>
      </c>
      <c r="G25" s="87">
        <f ca="1">'2019 FSM Update Complete'!J30</f>
        <v>13558.159134874686</v>
      </c>
      <c r="H25" s="87">
        <f ca="1">'2019 FSM Update Complete'!K30</f>
        <v>14796.248715925842</v>
      </c>
      <c r="I25" s="87">
        <f ca="1">'2019 FSM Update Complete'!L30</f>
        <v>16140.644263520915</v>
      </c>
      <c r="M25" s="94"/>
    </row>
    <row r="26" spans="2:13" x14ac:dyDescent="0.25">
      <c r="B26" t="s">
        <v>107</v>
      </c>
      <c r="D26" s="79"/>
      <c r="E26" s="79">
        <f ca="1">D32-E32</f>
        <v>1645.7206333115173</v>
      </c>
      <c r="F26" s="79">
        <f ca="1">E32-F32</f>
        <v>1991.4587236984662</v>
      </c>
      <c r="G26" s="79">
        <f ca="1">F32-G32</f>
        <v>2128.8693756337016</v>
      </c>
      <c r="H26" s="79">
        <f ca="1">G32-H32</f>
        <v>2275.76136255241</v>
      </c>
      <c r="I26" s="79">
        <f ca="1">H32-I32</f>
        <v>2432.7888965685124</v>
      </c>
      <c r="M26" s="94"/>
    </row>
    <row r="27" spans="2:13" x14ac:dyDescent="0.25">
      <c r="B27" t="s">
        <v>109</v>
      </c>
      <c r="D27" s="87"/>
      <c r="E27" s="87">
        <f>-('2019 FSM Update Complete'!H97)</f>
        <v>-12925.83</v>
      </c>
      <c r="F27" s="87">
        <f>-('2019 FSM Update Complete'!I97)</f>
        <v>-13238.84</v>
      </c>
      <c r="G27" s="87">
        <f ca="1">-('2019 FSM Update Complete'!J97)</f>
        <v>-14152.319959999999</v>
      </c>
      <c r="H27" s="87">
        <f ca="1">-('2019 FSM Update Complete'!K97)</f>
        <v>-15128.830037239999</v>
      </c>
      <c r="I27" s="87">
        <f ca="1">-('2019 FSM Update Complete'!L97)</f>
        <v>-16172.719309809558</v>
      </c>
      <c r="M27" s="94"/>
    </row>
    <row r="28" spans="2:13" x14ac:dyDescent="0.25">
      <c r="B28" s="54" t="s">
        <v>82</v>
      </c>
      <c r="D28" s="87"/>
      <c r="E28" s="59">
        <f ca="1">E27/E14</f>
        <v>-4.686932301184215E-2</v>
      </c>
      <c r="F28" s="59">
        <f ca="1">F27/F14</f>
        <v>-4.490580322831518E-2</v>
      </c>
      <c r="G28" s="59">
        <f ca="1">G27/G14</f>
        <v>-4.490580322831518E-2</v>
      </c>
      <c r="H28" s="59">
        <f ca="1">H27/H14</f>
        <v>-4.490580322831518E-2</v>
      </c>
      <c r="I28" s="59">
        <f ca="1">I27/I14</f>
        <v>-4.490580322831518E-2</v>
      </c>
      <c r="M28" s="94"/>
    </row>
    <row r="29" spans="2:13" x14ac:dyDescent="0.25">
      <c r="D29" s="87"/>
      <c r="E29" s="87"/>
      <c r="F29" s="87"/>
      <c r="G29" s="87"/>
      <c r="H29" s="87"/>
      <c r="I29" s="87"/>
      <c r="M29" s="94"/>
    </row>
    <row r="30" spans="2:13" x14ac:dyDescent="0.25">
      <c r="B30" s="11" t="s">
        <v>111</v>
      </c>
      <c r="C30" s="11"/>
      <c r="D30" s="98"/>
      <c r="E30" s="98">
        <f ca="1">E23+E25+E26+E27</f>
        <v>57554.421165706386</v>
      </c>
      <c r="F30" s="98">
        <f ca="1">F23+F25+F26+F27</f>
        <v>62131.879210238563</v>
      </c>
      <c r="G30" s="98">
        <f ca="1">G23+G25+G26+G27</f>
        <v>66702.025274945059</v>
      </c>
      <c r="H30" s="98">
        <f ca="1">H23+H25+H26+H27</f>
        <v>71607.04161966106</v>
      </c>
      <c r="I30" s="98">
        <f ca="1">I23+I25+I26+I27</f>
        <v>76871.381877613836</v>
      </c>
      <c r="M30" s="98"/>
    </row>
    <row r="31" spans="2:13" x14ac:dyDescent="0.25">
      <c r="D31" s="87"/>
      <c r="M31" s="94"/>
    </row>
    <row r="32" spans="2:13" x14ac:dyDescent="0.25">
      <c r="B32" t="s">
        <v>81</v>
      </c>
      <c r="D32" s="87">
        <f>SUM('2019 FSM Update Complete'!G46:G48)-SUM('2019 FSM Update Complete'!G53:G55)</f>
        <v>-27216</v>
      </c>
      <c r="E32" s="87">
        <f ca="1">SUM('2019 FSM Update Complete'!H46:H48)-SUM('2019 FSM Update Complete'!H53:H55)</f>
        <v>-28861.720633311517</v>
      </c>
      <c r="F32" s="87">
        <f ca="1">SUM('2019 FSM Update Complete'!I46:I48)-SUM('2019 FSM Update Complete'!I53:I55)</f>
        <v>-30853.179357009984</v>
      </c>
      <c r="G32" s="87">
        <f ca="1">SUM('2019 FSM Update Complete'!J46:J48)-SUM('2019 FSM Update Complete'!J53:J55)</f>
        <v>-32982.048732643685</v>
      </c>
      <c r="H32" s="87">
        <f ca="1">SUM('2019 FSM Update Complete'!K46:K48)-SUM('2019 FSM Update Complete'!K53:K55)</f>
        <v>-35257.810095196095</v>
      </c>
      <c r="I32" s="87">
        <f ca="1">SUM('2019 FSM Update Complete'!L46:L48)-SUM('2019 FSM Update Complete'!L53:L55)</f>
        <v>-37690.598991764607</v>
      </c>
    </row>
    <row r="33" spans="2:13" x14ac:dyDescent="0.25">
      <c r="B33" s="54" t="s">
        <v>82</v>
      </c>
      <c r="D33" s="59">
        <f t="shared" ref="D33:I33" si="5">D32/D14</f>
        <v>-0.10460691690945291</v>
      </c>
      <c r="E33" s="59">
        <f t="shared" ca="1" si="5"/>
        <v>-0.10465318722590555</v>
      </c>
      <c r="F33" s="59">
        <f t="shared" ca="1" si="5"/>
        <v>-0.10465318722590546</v>
      </c>
      <c r="G33" s="59">
        <f t="shared" ca="1" si="5"/>
        <v>-0.1046531872259055</v>
      </c>
      <c r="H33" s="59">
        <f t="shared" ca="1" si="5"/>
        <v>-0.10465318722590548</v>
      </c>
      <c r="I33" s="59">
        <f t="shared" ca="1" si="5"/>
        <v>-0.10465318722590544</v>
      </c>
      <c r="J33" s="87"/>
    </row>
    <row r="34" spans="2:13" x14ac:dyDescent="0.25">
      <c r="D34" s="87"/>
      <c r="E34" s="59"/>
      <c r="F34" s="59"/>
      <c r="G34" s="59"/>
      <c r="H34" s="59"/>
      <c r="I34" s="59"/>
      <c r="J34" s="87"/>
      <c r="K34" s="100"/>
      <c r="M34" s="59"/>
    </row>
    <row r="35" spans="2:13" x14ac:dyDescent="0.25">
      <c r="B35" s="51" t="str">
        <f>"Present value of UFCF on "&amp;TEXT(D7,"mmm dd, yyyy")&amp;" valuation date"</f>
        <v>Present value of UFCF on Feb 28, 2020 valuation date</v>
      </c>
      <c r="C35" s="71"/>
      <c r="D35" s="101"/>
      <c r="E35" s="71"/>
      <c r="F35" s="101"/>
      <c r="G35" s="101"/>
      <c r="H35" s="101"/>
      <c r="I35" s="101"/>
      <c r="J35" s="87"/>
    </row>
    <row r="36" spans="2:13" ht="17.25" x14ac:dyDescent="0.4">
      <c r="B36" s="11"/>
      <c r="D36" s="102" t="s">
        <v>114</v>
      </c>
      <c r="E36" s="102" t="s">
        <v>115</v>
      </c>
      <c r="F36" s="103" t="s">
        <v>116</v>
      </c>
      <c r="G36" s="103" t="s">
        <v>117</v>
      </c>
      <c r="H36" s="103" t="s">
        <v>118</v>
      </c>
      <c r="I36" s="103" t="s">
        <v>119</v>
      </c>
      <c r="J36" s="87"/>
    </row>
    <row r="37" spans="2:13" x14ac:dyDescent="0.25">
      <c r="B37" t="s">
        <v>120</v>
      </c>
      <c r="D37" s="1">
        <f>D7</f>
        <v>43889</v>
      </c>
      <c r="E37" s="1">
        <f>IF($H$7=1,AVERAGE(E12,D37),E12)</f>
        <v>44104</v>
      </c>
      <c r="F37" s="1">
        <f>IF($H$7=1,AVERAGE(F12,E12),F12)</f>
        <v>44469</v>
      </c>
      <c r="G37" s="1">
        <f>IF($H$7=1,AVERAGE(G12,F12),G12)</f>
        <v>44834</v>
      </c>
      <c r="H37" s="1">
        <f>IF($H$7=1,AVERAGE(H12,G12),H12)</f>
        <v>45199</v>
      </c>
      <c r="I37" s="1">
        <f>IF($H$7=1,AVERAGE(I12,H12),I12)</f>
        <v>45565</v>
      </c>
      <c r="J37" s="87"/>
    </row>
    <row r="38" spans="2:13" x14ac:dyDescent="0.25">
      <c r="B38" t="s">
        <v>122</v>
      </c>
      <c r="C38" s="211">
        <f>D8</f>
        <v>0.58888888888888891</v>
      </c>
      <c r="D38" s="94"/>
      <c r="E38" s="212">
        <f ca="1">E30*C38</f>
        <v>33893.159130915985</v>
      </c>
      <c r="F38" s="212">
        <f ca="1">F30</f>
        <v>62131.879210238563</v>
      </c>
      <c r="G38" s="212">
        <f ca="1">G30</f>
        <v>66702.025274945059</v>
      </c>
      <c r="H38" s="212">
        <f ca="1">H30</f>
        <v>71607.04161966106</v>
      </c>
      <c r="I38" s="212">
        <f ca="1">I30</f>
        <v>76871.381877613836</v>
      </c>
      <c r="J38" s="79"/>
      <c r="K38" t="s">
        <v>123</v>
      </c>
    </row>
    <row r="39" spans="2:13" ht="15" customHeight="1" x14ac:dyDescent="0.25">
      <c r="B39" s="11" t="s">
        <v>124</v>
      </c>
      <c r="C39" s="107"/>
      <c r="D39" s="98"/>
      <c r="E39" s="98">
        <f ca="1">E38/(1+$H$4)^((E37-$D$7)/365)</f>
        <v>32428.768925175951</v>
      </c>
      <c r="F39" s="98">
        <f ca="1">F38/(1+$H$4)^((F37-$D$7)/365)</f>
        <v>55152.957841158357</v>
      </c>
      <c r="G39" s="98">
        <f ca="1">G38/(1+$H$4)^((G37-$D$7)/365)</f>
        <v>54932.485236156062</v>
      </c>
      <c r="H39" s="98">
        <f ca="1">H38/(1+$H$4)^((H37-$D$7)/365)</f>
        <v>54711.908759323269</v>
      </c>
      <c r="I39" s="98">
        <f ca="1">I38/(1+$H$4)^((I37-$D$7)/365)</f>
        <v>54480.052096973544</v>
      </c>
      <c r="J39" s="79"/>
    </row>
    <row r="41" spans="2:13" x14ac:dyDescent="0.25">
      <c r="B41" s="51" t="s">
        <v>125</v>
      </c>
      <c r="C41" s="51"/>
      <c r="E41" s="51" t="s">
        <v>126</v>
      </c>
      <c r="F41" s="71"/>
      <c r="G41" s="71"/>
      <c r="H41" s="71"/>
      <c r="I41" s="71"/>
    </row>
    <row r="42" spans="2:13" x14ac:dyDescent="0.25">
      <c r="B42" t="s">
        <v>127</v>
      </c>
      <c r="C42" s="55">
        <v>0.03</v>
      </c>
      <c r="E42" t="s">
        <v>128</v>
      </c>
      <c r="I42" s="94">
        <f ca="1">I16</f>
        <v>104736.96509949987</v>
      </c>
      <c r="J42" s="94"/>
    </row>
    <row r="43" spans="2:13" x14ac:dyDescent="0.25">
      <c r="B43" s="109" t="str">
        <f>YEAR(I12)&amp;" FCF x (1+g)"</f>
        <v>2024 FCF x (1+g)</v>
      </c>
      <c r="C43" s="94">
        <f ca="1">I38*(1+C42)</f>
        <v>79177.523333942256</v>
      </c>
      <c r="E43" t="s">
        <v>129</v>
      </c>
      <c r="I43" s="111">
        <v>12.5154387291762</v>
      </c>
      <c r="J43" s="111"/>
    </row>
    <row r="44" spans="2:13" x14ac:dyDescent="0.25">
      <c r="B44" t="str">
        <f>"Terminal value in "&amp;YEAR(I12)</f>
        <v>Terminal value in 2024</v>
      </c>
      <c r="C44" s="94">
        <f ca="1">C43/(H4-C42)</f>
        <v>1654207.9500526572</v>
      </c>
      <c r="E44" t="str">
        <f>"Terminal value in "&amp;YEAR(I12)</f>
        <v>Terminal value in 2024</v>
      </c>
      <c r="I44" s="94">
        <f ca="1">I42*I43</f>
        <v>1310829.0693826566</v>
      </c>
      <c r="J44" s="94"/>
    </row>
    <row r="45" spans="2:13" x14ac:dyDescent="0.25">
      <c r="B45" t="s">
        <v>130</v>
      </c>
      <c r="C45" s="94">
        <f ca="1">C44/(1+H4)^((I37-$D$37)/365)</f>
        <v>1172365.2300355139</v>
      </c>
      <c r="E45" t="s">
        <v>130</v>
      </c>
      <c r="I45" s="94">
        <f ca="1">I44/(1+H4)^((I37-D37)/365)</f>
        <v>929006.79350206116</v>
      </c>
      <c r="J45" s="94"/>
    </row>
    <row r="46" spans="2:13" x14ac:dyDescent="0.25">
      <c r="B46" t="s">
        <v>131</v>
      </c>
      <c r="C46" s="79">
        <f ca="1">SUM(E39:I39)</f>
        <v>251706.17285878718</v>
      </c>
      <c r="E46" t="s">
        <v>131</v>
      </c>
      <c r="I46" s="94">
        <f ca="1">C46</f>
        <v>251706.17285878718</v>
      </c>
      <c r="J46" s="94"/>
    </row>
    <row r="47" spans="2:13" x14ac:dyDescent="0.25">
      <c r="B47" s="11" t="s">
        <v>132</v>
      </c>
      <c r="C47" s="113">
        <f ca="1">C46+C45</f>
        <v>1424071.4028943011</v>
      </c>
      <c r="E47" s="11" t="s">
        <v>133</v>
      </c>
      <c r="I47" s="113">
        <f ca="1">SUM(I45:I46)</f>
        <v>1180712.9663608484</v>
      </c>
      <c r="J47" s="113"/>
    </row>
    <row r="49" spans="2:11" x14ac:dyDescent="0.25">
      <c r="B49" s="114" t="s">
        <v>134</v>
      </c>
      <c r="C49" s="116">
        <f ca="1">C45/$C$47</f>
        <v>0.8232489098880742</v>
      </c>
      <c r="E49" s="114" t="s">
        <v>134</v>
      </c>
      <c r="I49" s="116">
        <f ca="1">+I45/I47</f>
        <v>0.78681849015803806</v>
      </c>
      <c r="J49" s="116"/>
    </row>
    <row r="50" spans="2:11" x14ac:dyDescent="0.25">
      <c r="B50" s="114" t="s">
        <v>135</v>
      </c>
      <c r="C50" s="116">
        <f ca="1">1-C49</f>
        <v>0.1767510901119258</v>
      </c>
      <c r="E50" s="114" t="s">
        <v>420</v>
      </c>
      <c r="G50" s="117"/>
      <c r="I50" s="92">
        <f ca="1">1-I49</f>
        <v>0.21318150984196194</v>
      </c>
      <c r="J50" s="92"/>
    </row>
    <row r="51" spans="2:11" x14ac:dyDescent="0.25">
      <c r="B51" s="114" t="s">
        <v>136</v>
      </c>
      <c r="C51" s="121">
        <f ca="1">(C44/I16)</f>
        <v>15.793926704685051</v>
      </c>
      <c r="E51" t="s">
        <v>137</v>
      </c>
      <c r="I51" s="120">
        <f ca="1">(H4-I38/I44)/(1+I38/I44)</f>
        <v>1.8156238309424994E-2</v>
      </c>
      <c r="J51" s="120"/>
    </row>
    <row r="52" spans="2:11" x14ac:dyDescent="0.25">
      <c r="B52" s="114"/>
      <c r="C52" s="24"/>
      <c r="D52" s="121"/>
      <c r="I52" s="120"/>
      <c r="J52" s="120"/>
    </row>
    <row r="53" spans="2:11" x14ac:dyDescent="0.25">
      <c r="B53" s="51" t="s">
        <v>138</v>
      </c>
      <c r="C53" s="71"/>
      <c r="E53" s="51" t="s">
        <v>139</v>
      </c>
      <c r="F53" s="71"/>
      <c r="G53" s="51"/>
      <c r="H53" s="71"/>
      <c r="I53" s="71"/>
    </row>
    <row r="54" spans="2:11" x14ac:dyDescent="0.25">
      <c r="B54" t="s">
        <v>140</v>
      </c>
      <c r="C54" s="199" t="s">
        <v>141</v>
      </c>
    </row>
    <row r="55" spans="2:11" x14ac:dyDescent="0.25">
      <c r="B55" s="122" t="s">
        <v>142</v>
      </c>
      <c r="C55" s="1">
        <f>D6</f>
        <v>43827</v>
      </c>
      <c r="G55" s="30" t="s">
        <v>140</v>
      </c>
      <c r="H55" s="123" t="s">
        <v>143</v>
      </c>
      <c r="I55" s="123" t="s">
        <v>144</v>
      </c>
    </row>
    <row r="56" spans="2:11" x14ac:dyDescent="0.25">
      <c r="B56" s="124" t="s">
        <v>145</v>
      </c>
      <c r="C56" s="125"/>
      <c r="G56" s="199"/>
      <c r="H56" s="199"/>
      <c r="I56" s="127"/>
      <c r="J56" s="127"/>
    </row>
    <row r="57" spans="2:11" x14ac:dyDescent="0.25">
      <c r="B57" s="54" t="s">
        <v>147</v>
      </c>
      <c r="C57" s="97">
        <f>4990+10224+93078</f>
        <v>108292</v>
      </c>
      <c r="E57" s="122"/>
      <c r="G57" s="199"/>
      <c r="H57" s="199"/>
      <c r="I57" s="127"/>
      <c r="J57" s="128"/>
    </row>
    <row r="58" spans="2:11" x14ac:dyDescent="0.25">
      <c r="B58" s="54"/>
      <c r="C58" s="265"/>
      <c r="E58" s="122"/>
      <c r="G58" s="199"/>
      <c r="H58" s="199"/>
      <c r="I58" s="269"/>
      <c r="K58" t="s">
        <v>421</v>
      </c>
    </row>
    <row r="59" spans="2:11" ht="15" customHeight="1" x14ac:dyDescent="0.25">
      <c r="B59" s="54"/>
      <c r="C59" s="265"/>
      <c r="G59" s="199"/>
      <c r="H59" s="199"/>
      <c r="I59" s="269"/>
      <c r="K59" t="s">
        <v>422</v>
      </c>
    </row>
    <row r="60" spans="2:11" x14ac:dyDescent="0.25">
      <c r="B60" s="131" t="s">
        <v>152</v>
      </c>
      <c r="C60" s="97">
        <v>0</v>
      </c>
      <c r="G60" s="199"/>
      <c r="H60" s="199"/>
      <c r="I60" s="269"/>
      <c r="K60" t="s">
        <v>423</v>
      </c>
    </row>
    <row r="61" spans="2:11" ht="15" customHeight="1" x14ac:dyDescent="0.25">
      <c r="B61" s="124" t="s">
        <v>154</v>
      </c>
      <c r="E61" s="132"/>
      <c r="I61" s="214"/>
      <c r="J61" s="134"/>
    </row>
    <row r="62" spans="2:11" x14ac:dyDescent="0.25">
      <c r="B62" s="135" t="s">
        <v>156</v>
      </c>
      <c r="C62" s="97">
        <f>39771+67391+99899</f>
        <v>207061</v>
      </c>
      <c r="J62" s="136"/>
    </row>
    <row r="63" spans="2:11" x14ac:dyDescent="0.25">
      <c r="B63" s="135" t="s">
        <v>157</v>
      </c>
      <c r="C63" s="97">
        <v>0</v>
      </c>
      <c r="J63" s="136"/>
    </row>
    <row r="64" spans="2:11" x14ac:dyDescent="0.25">
      <c r="J64" s="137"/>
    </row>
    <row r="65" spans="2:6" x14ac:dyDescent="0.25">
      <c r="B65" s="138" t="s">
        <v>138</v>
      </c>
      <c r="C65" s="53">
        <f>SUM(C57:C60)-SUM(C62:C63)</f>
        <v>-98769</v>
      </c>
    </row>
    <row r="67" spans="2:6" x14ac:dyDescent="0.25">
      <c r="B67" s="51" t="s">
        <v>158</v>
      </c>
      <c r="C67" s="71"/>
      <c r="D67" s="71"/>
    </row>
    <row r="68" spans="2:6" ht="17.25" x14ac:dyDescent="0.4">
      <c r="C68" s="140" t="s">
        <v>159</v>
      </c>
      <c r="D68" s="140" t="s">
        <v>98</v>
      </c>
    </row>
    <row r="69" spans="2:6" x14ac:dyDescent="0.25">
      <c r="B69" t="s">
        <v>160</v>
      </c>
      <c r="C69" s="215">
        <f ca="1">C47</f>
        <v>1424071.4028943011</v>
      </c>
      <c r="D69" s="215">
        <f ca="1">I47</f>
        <v>1180712.9663608484</v>
      </c>
    </row>
    <row r="70" spans="2:6" x14ac:dyDescent="0.25">
      <c r="B70" t="s">
        <v>138</v>
      </c>
      <c r="C70" s="216">
        <f>$C$65</f>
        <v>-98769</v>
      </c>
      <c r="D70" s="216">
        <f>C70</f>
        <v>-98769</v>
      </c>
    </row>
    <row r="71" spans="2:6" x14ac:dyDescent="0.25">
      <c r="B71" t="s">
        <v>161</v>
      </c>
      <c r="C71" s="217">
        <f ca="1">C69-C70</f>
        <v>1522840.4028943011</v>
      </c>
      <c r="D71" s="217">
        <f ca="1">D69-D70</f>
        <v>1279481.9663608484</v>
      </c>
    </row>
    <row r="72" spans="2:6" x14ac:dyDescent="0.25">
      <c r="C72" s="217"/>
      <c r="D72" s="217"/>
    </row>
    <row r="73" spans="2:6" x14ac:dyDescent="0.25">
      <c r="B73" s="11"/>
      <c r="C73" s="145"/>
      <c r="D73" s="145"/>
    </row>
    <row r="75" spans="2:6" ht="17.25" x14ac:dyDescent="0.4">
      <c r="C75" s="50" t="s">
        <v>424</v>
      </c>
      <c r="D75" s="50"/>
    </row>
    <row r="76" spans="2:6" x14ac:dyDescent="0.25">
      <c r="B76" s="30"/>
      <c r="C76" s="123" t="s">
        <v>159</v>
      </c>
      <c r="D76" s="123" t="s">
        <v>98</v>
      </c>
    </row>
    <row r="77" spans="2:6" x14ac:dyDescent="0.25">
      <c r="B77" t="s">
        <v>164</v>
      </c>
      <c r="C77" s="218">
        <f ca="1">C69/$C$14</f>
        <v>5.3417709619111662</v>
      </c>
      <c r="D77" s="218">
        <f ca="1">D69/$C$14</f>
        <v>4.4289199440700422</v>
      </c>
    </row>
    <row r="78" spans="2:6" x14ac:dyDescent="0.25">
      <c r="B78" t="s">
        <v>165</v>
      </c>
      <c r="C78" s="146">
        <f ca="1">C69/$C$16</f>
        <v>18.308497609593118</v>
      </c>
      <c r="D78" s="146">
        <f ca="1">D69/$C$16</f>
        <v>15.179772923112115</v>
      </c>
    </row>
    <row r="79" spans="2:6" x14ac:dyDescent="0.25">
      <c r="B79" s="79" t="s">
        <v>166</v>
      </c>
      <c r="C79" s="146">
        <f ca="1">C69/$C$18</f>
        <v>21.728721102685778</v>
      </c>
      <c r="D79" s="146">
        <f ca="1">D69/$C$18</f>
        <v>18.015517126625362</v>
      </c>
    </row>
    <row r="80" spans="2:6" ht="17.25" x14ac:dyDescent="0.4">
      <c r="B80" s="79"/>
      <c r="C80" s="50" t="s">
        <v>425</v>
      </c>
      <c r="D80" s="50"/>
      <c r="E80" s="146"/>
      <c r="F80" s="146"/>
    </row>
    <row r="81" spans="2:17" x14ac:dyDescent="0.25">
      <c r="B81" s="30"/>
      <c r="C81" s="123" t="s">
        <v>159</v>
      </c>
      <c r="D81" s="123" t="s">
        <v>98</v>
      </c>
      <c r="E81" s="146"/>
      <c r="F81" s="146"/>
    </row>
    <row r="82" spans="2:17" x14ac:dyDescent="0.25">
      <c r="B82" t="s">
        <v>164</v>
      </c>
      <c r="C82" s="218">
        <f ca="1">C69/$E$14</f>
        <v>5.1637119298474605</v>
      </c>
      <c r="D82" s="218">
        <f ca="1">D69/$E$14</f>
        <v>4.2812892792677077</v>
      </c>
      <c r="E82" s="146"/>
      <c r="F82" s="146"/>
    </row>
    <row r="83" spans="2:17" x14ac:dyDescent="0.25">
      <c r="B83" t="s">
        <v>165</v>
      </c>
      <c r="C83" s="146">
        <f ca="1">C69/$E$16</f>
        <v>17.878821108062859</v>
      </c>
      <c r="D83" s="146">
        <f ca="1">D69/$E$16</f>
        <v>14.823523499335852</v>
      </c>
      <c r="E83" s="146"/>
      <c r="F83" s="146"/>
    </row>
    <row r="84" spans="2:17" x14ac:dyDescent="0.25">
      <c r="B84" s="79" t="s">
        <v>166</v>
      </c>
      <c r="C84" s="146">
        <f ca="1">C69/$E$18</f>
        <v>20.990698901818945</v>
      </c>
      <c r="D84" s="146">
        <f ca="1">D69/$E$18</f>
        <v>17.403614956372795</v>
      </c>
      <c r="E84" s="146"/>
      <c r="F84" s="146"/>
    </row>
    <row r="86" spans="2:17" x14ac:dyDescent="0.25">
      <c r="B86" s="51" t="s">
        <v>167</v>
      </c>
      <c r="C86" s="51"/>
      <c r="D86" s="51"/>
      <c r="E86" s="51"/>
      <c r="F86" s="51"/>
      <c r="G86" s="51"/>
      <c r="H86" s="51"/>
      <c r="I86" s="51"/>
      <c r="J86" s="51"/>
      <c r="K86" s="51"/>
      <c r="L86" s="51"/>
      <c r="M86" s="51"/>
      <c r="N86" s="51"/>
      <c r="O86" s="51"/>
      <c r="P86" s="51"/>
      <c r="Q86" s="51"/>
    </row>
    <row r="87" spans="2:17" x14ac:dyDescent="0.25">
      <c r="B87" s="11"/>
    </row>
    <row r="88" spans="2:17" ht="17.25" customHeight="1" x14ac:dyDescent="0.4">
      <c r="B88" s="151"/>
      <c r="C88" s="11"/>
      <c r="D88" s="152" t="s">
        <v>162</v>
      </c>
      <c r="E88" s="50"/>
      <c r="F88" s="50"/>
      <c r="G88" s="50"/>
      <c r="H88" s="50"/>
      <c r="I88" s="50"/>
      <c r="J88" s="153"/>
      <c r="L88" s="152" t="s">
        <v>426</v>
      </c>
      <c r="M88" s="50"/>
      <c r="N88" s="50"/>
      <c r="O88" s="50"/>
      <c r="P88" s="50"/>
      <c r="Q88" s="50"/>
    </row>
    <row r="89" spans="2:17" ht="15" customHeight="1" x14ac:dyDescent="0.25">
      <c r="B89" s="151"/>
      <c r="D89" s="122"/>
      <c r="E89" s="2" t="s">
        <v>169</v>
      </c>
      <c r="F89" s="2"/>
      <c r="G89" s="2"/>
      <c r="H89" s="2"/>
      <c r="I89" s="2"/>
      <c r="J89" s="154"/>
      <c r="L89" s="122"/>
      <c r="M89" s="2"/>
      <c r="N89" s="2"/>
      <c r="O89" s="2"/>
      <c r="P89" s="2"/>
      <c r="Q89" s="2"/>
    </row>
    <row r="90" spans="2:17" ht="15" customHeight="1" x14ac:dyDescent="0.25">
      <c r="B90" s="151"/>
      <c r="C90" s="155"/>
      <c r="D90" s="352">
        <f>C73</f>
        <v>0</v>
      </c>
      <c r="E90" s="157">
        <f>F90-0.005</f>
        <v>1.9999999999999997E-2</v>
      </c>
      <c r="F90" s="158">
        <f>G90-0.005</f>
        <v>2.4999999999999998E-2</v>
      </c>
      <c r="G90" s="159">
        <v>0.03</v>
      </c>
      <c r="H90" s="158">
        <f>G90+0.005</f>
        <v>3.4999999999999996E-2</v>
      </c>
      <c r="I90" s="158">
        <f>H90+0.005</f>
        <v>3.9999999999999994E-2</v>
      </c>
      <c r="J90" s="160"/>
      <c r="L90" s="161">
        <f ca="1">C78</f>
        <v>18.308497609593118</v>
      </c>
      <c r="M90" s="158">
        <f>N90-0.005</f>
        <v>1.9999999999999997E-2</v>
      </c>
      <c r="N90" s="158">
        <f>O90-0.005</f>
        <v>2.4999999999999998E-2</v>
      </c>
      <c r="O90" s="159">
        <v>0.03</v>
      </c>
      <c r="P90" s="158">
        <f>O90+0.005</f>
        <v>3.4999999999999996E-2</v>
      </c>
      <c r="Q90" s="353">
        <f>P90+0.005</f>
        <v>3.9999999999999994E-2</v>
      </c>
    </row>
    <row r="91" spans="2:17" ht="15" customHeight="1" x14ac:dyDescent="0.25">
      <c r="B91" s="151"/>
      <c r="D91" s="162">
        <f>D92+0.01</f>
        <v>0.10999999999999999</v>
      </c>
      <c r="E91" s="163">
        <f t="dataTable" ref="E91:I95" dt2D="1" dtr="1" r1="C42" r2="H4"/>
        <v>0</v>
      </c>
      <c r="F91" s="163">
        <v>0</v>
      </c>
      <c r="G91" s="163">
        <v>0</v>
      </c>
      <c r="H91" s="163">
        <v>0</v>
      </c>
      <c r="I91" s="163">
        <v>0</v>
      </c>
      <c r="J91" s="164"/>
      <c r="L91" s="162">
        <f t="shared" ref="L91" si="6">L92+0.01</f>
        <v>0.10999999999999999</v>
      </c>
      <c r="M91" s="165">
        <f t="dataTable" ref="M91:Q95" dt2D="1" dtr="1" r1="C42" r2="H4" ca="1"/>
        <v>9.9223822980690723</v>
      </c>
      <c r="N91" s="165">
        <v>10.366403792036889</v>
      </c>
      <c r="O91" s="165">
        <v>10.865927972750692</v>
      </c>
      <c r="P91" s="165">
        <v>11.432055377559662</v>
      </c>
      <c r="Q91" s="165">
        <v>12.079058125912768</v>
      </c>
    </row>
    <row r="92" spans="2:17" ht="15" customHeight="1" x14ac:dyDescent="0.25">
      <c r="B92" s="151"/>
      <c r="D92" s="162">
        <f>D93+0.01</f>
        <v>9.9999999999999992E-2</v>
      </c>
      <c r="E92" s="163">
        <v>0</v>
      </c>
      <c r="F92" s="163">
        <v>0</v>
      </c>
      <c r="G92" s="163">
        <v>0</v>
      </c>
      <c r="H92" s="163">
        <v>0</v>
      </c>
      <c r="I92" s="163">
        <v>0</v>
      </c>
      <c r="J92" s="164"/>
      <c r="L92" s="162">
        <f>L93+0.01</f>
        <v>9.9999999999999992E-2</v>
      </c>
      <c r="M92" s="165">
        <v>11.194899571989842</v>
      </c>
      <c r="N92" s="165">
        <v>11.779731308154362</v>
      </c>
      <c r="O92" s="165">
        <v>12.448110435199533</v>
      </c>
      <c r="P92" s="165">
        <v>13.219317120251651</v>
      </c>
      <c r="Q92" s="165">
        <v>14.119058252812456</v>
      </c>
    </row>
    <row r="93" spans="2:17" ht="15" customHeight="1" x14ac:dyDescent="0.25">
      <c r="B93" s="151"/>
      <c r="C93" s="155" t="s">
        <v>170</v>
      </c>
      <c r="D93" s="166">
        <v>0.09</v>
      </c>
      <c r="E93" s="163">
        <v>0</v>
      </c>
      <c r="F93" s="163">
        <v>0</v>
      </c>
      <c r="G93" s="163">
        <v>0</v>
      </c>
      <c r="H93" s="163">
        <v>0</v>
      </c>
      <c r="I93" s="163">
        <v>0</v>
      </c>
      <c r="J93" s="164"/>
      <c r="K93" s="155" t="s">
        <v>170</v>
      </c>
      <c r="L93" s="166">
        <v>0.09</v>
      </c>
      <c r="M93" s="165">
        <v>12.832501802687379</v>
      </c>
      <c r="N93" s="165">
        <v>13.629424985284521</v>
      </c>
      <c r="O93" s="165">
        <v>14.559168698314519</v>
      </c>
      <c r="P93" s="165">
        <v>15.657956722804514</v>
      </c>
      <c r="Q93" s="165">
        <v>16.976502352192504</v>
      </c>
    </row>
    <row r="94" spans="2:17" ht="15" customHeight="1" x14ac:dyDescent="0.25">
      <c r="B94" s="151"/>
      <c r="D94" s="162">
        <f t="shared" ref="D94:D95" si="7">D93-0.01</f>
        <v>0.08</v>
      </c>
      <c r="E94" s="163">
        <v>0</v>
      </c>
      <c r="F94" s="163">
        <v>0</v>
      </c>
      <c r="G94" s="163">
        <v>0</v>
      </c>
      <c r="H94" s="163">
        <v>0</v>
      </c>
      <c r="I94" s="163">
        <v>0</v>
      </c>
      <c r="J94" s="164"/>
      <c r="L94" s="162">
        <f t="shared" ref="L94:L95" si="8">L93-0.01</f>
        <v>0.08</v>
      </c>
      <c r="M94" s="165">
        <v>15.017809119684179</v>
      </c>
      <c r="N94" s="165">
        <v>16.153580421844591</v>
      </c>
      <c r="O94" s="165">
        <v>17.516505984437085</v>
      </c>
      <c r="P94" s="165">
        <v>19.182303894272355</v>
      </c>
      <c r="Q94" s="165">
        <v>21.26455128156644</v>
      </c>
    </row>
    <row r="95" spans="2:17" ht="15" customHeight="1" x14ac:dyDescent="0.25">
      <c r="B95" s="167" t="s">
        <v>171</v>
      </c>
      <c r="D95" s="168">
        <f t="shared" si="7"/>
        <v>7.0000000000000007E-2</v>
      </c>
      <c r="E95" s="163">
        <v>0</v>
      </c>
      <c r="F95" s="163">
        <v>0</v>
      </c>
      <c r="G95" s="163">
        <v>0</v>
      </c>
      <c r="H95" s="163">
        <v>0</v>
      </c>
      <c r="I95" s="163">
        <v>0</v>
      </c>
      <c r="J95" s="164"/>
      <c r="L95" s="168">
        <f t="shared" si="8"/>
        <v>7.0000000000000007E-2</v>
      </c>
      <c r="M95" s="165">
        <v>18.079542944314461</v>
      </c>
      <c r="N95" s="165">
        <v>19.801939021142026</v>
      </c>
      <c r="O95" s="165">
        <v>21.954934117176489</v>
      </c>
      <c r="P95" s="165">
        <v>24.723070669220792</v>
      </c>
      <c r="Q95" s="165">
        <v>28.413919405279859</v>
      </c>
    </row>
    <row r="96" spans="2:17" ht="15" customHeight="1" x14ac:dyDescent="0.25">
      <c r="B96" s="167" t="s">
        <v>172</v>
      </c>
      <c r="E96" s="169"/>
      <c r="F96" s="169"/>
      <c r="G96" s="169"/>
      <c r="H96" s="169"/>
      <c r="I96" s="169"/>
      <c r="J96" s="170"/>
    </row>
    <row r="97" spans="2:17" ht="17.25" customHeight="1" x14ac:dyDescent="0.4">
      <c r="B97" s="151"/>
      <c r="D97" s="152" t="s">
        <v>162</v>
      </c>
      <c r="E97" s="50"/>
      <c r="F97" s="50"/>
      <c r="G97" s="50"/>
      <c r="H97" s="50"/>
      <c r="I97" s="50"/>
      <c r="J97" s="153"/>
      <c r="L97" s="152" t="s">
        <v>426</v>
      </c>
      <c r="M97" s="50"/>
      <c r="N97" s="50"/>
      <c r="O97" s="50"/>
      <c r="P97" s="50"/>
      <c r="Q97" s="50"/>
    </row>
    <row r="98" spans="2:17" ht="15" customHeight="1" x14ac:dyDescent="0.25">
      <c r="B98" s="151"/>
      <c r="E98" s="2" t="s">
        <v>173</v>
      </c>
      <c r="F98" s="2"/>
      <c r="G98" s="2"/>
      <c r="H98" s="2"/>
      <c r="I98" s="2"/>
      <c r="J98" s="154"/>
      <c r="M98" s="2" t="s">
        <v>173</v>
      </c>
      <c r="N98" s="2"/>
      <c r="O98" s="2"/>
      <c r="P98" s="2"/>
      <c r="Q98" s="2"/>
    </row>
    <row r="99" spans="2:17" ht="15" customHeight="1" x14ac:dyDescent="0.25">
      <c r="B99" s="151"/>
      <c r="D99" s="171">
        <f>D73</f>
        <v>0</v>
      </c>
      <c r="E99" s="172">
        <f>F99-1</f>
        <v>11</v>
      </c>
      <c r="F99" s="172">
        <f>G99-1</f>
        <v>12</v>
      </c>
      <c r="G99" s="173">
        <v>13</v>
      </c>
      <c r="H99" s="172">
        <f>G99+1</f>
        <v>14</v>
      </c>
      <c r="I99" s="172">
        <f>H99+1</f>
        <v>15</v>
      </c>
      <c r="J99" s="174"/>
      <c r="L99" s="161">
        <f ca="1">D78</f>
        <v>15.179772923112115</v>
      </c>
      <c r="M99" s="172">
        <f>N99-1</f>
        <v>11</v>
      </c>
      <c r="N99" s="172">
        <f>O99-1</f>
        <v>12</v>
      </c>
      <c r="O99" s="173">
        <v>13</v>
      </c>
      <c r="P99" s="172">
        <f>O99+1</f>
        <v>14</v>
      </c>
      <c r="Q99" s="354">
        <f>P99+1</f>
        <v>15</v>
      </c>
    </row>
    <row r="100" spans="2:17" ht="15" customHeight="1" x14ac:dyDescent="0.25">
      <c r="B100" s="151"/>
      <c r="D100" s="162">
        <f t="shared" ref="D100" si="9">D101+0.01</f>
        <v>0.10999999999999999</v>
      </c>
      <c r="E100" s="163">
        <f t="dataTable" ref="E100:I104" dt2D="1" dtr="1" r1="I43" r2="H4"/>
        <v>0</v>
      </c>
      <c r="F100" s="163">
        <v>0</v>
      </c>
      <c r="G100" s="163">
        <v>0</v>
      </c>
      <c r="H100" s="163">
        <v>0</v>
      </c>
      <c r="I100" s="163">
        <v>0</v>
      </c>
      <c r="J100" s="164"/>
      <c r="L100" s="162">
        <f t="shared" ref="L100" si="10">L101+0.01</f>
        <v>0.10999999999999999</v>
      </c>
      <c r="M100" s="165">
        <f t="dataTable" ref="M100:Q104" dt2D="1" dtr="1" r1="I43" r2="H4" ca="1"/>
        <v>12.158814924242293</v>
      </c>
      <c r="N100" s="165">
        <v>12.992702960315533</v>
      </c>
      <c r="O100" s="165">
        <v>13.826590996388775</v>
      </c>
      <c r="P100" s="165">
        <v>14.660479032462016</v>
      </c>
      <c r="Q100" s="165">
        <v>15.494367068535258</v>
      </c>
    </row>
    <row r="101" spans="2:17" ht="15" customHeight="1" x14ac:dyDescent="0.25">
      <c r="B101" s="151"/>
      <c r="D101" s="162">
        <f>D102+0.01</f>
        <v>9.9999999999999992E-2</v>
      </c>
      <c r="E101" s="163">
        <v>0</v>
      </c>
      <c r="F101" s="163">
        <v>0</v>
      </c>
      <c r="G101" s="163">
        <v>0</v>
      </c>
      <c r="H101" s="163">
        <v>0</v>
      </c>
      <c r="I101" s="163">
        <v>0</v>
      </c>
      <c r="J101" s="164"/>
      <c r="L101" s="162">
        <f>L102+0.01</f>
        <v>9.9999999999999992E-2</v>
      </c>
      <c r="M101" s="165">
        <v>12.622393950570173</v>
      </c>
      <c r="N101" s="165">
        <v>13.491664147244187</v>
      </c>
      <c r="O101" s="165">
        <v>14.360934343918201</v>
      </c>
      <c r="P101" s="165">
        <v>15.230204540592213</v>
      </c>
      <c r="Q101" s="165">
        <v>16.099474737266231</v>
      </c>
    </row>
    <row r="102" spans="2:17" ht="15" customHeight="1" x14ac:dyDescent="0.25">
      <c r="B102" s="151"/>
      <c r="C102" s="155" t="s">
        <v>170</v>
      </c>
      <c r="D102" s="166">
        <v>0.09</v>
      </c>
      <c r="E102" s="163">
        <v>0</v>
      </c>
      <c r="F102" s="163">
        <v>0</v>
      </c>
      <c r="G102" s="163">
        <v>0</v>
      </c>
      <c r="H102" s="163">
        <v>0</v>
      </c>
      <c r="I102" s="163">
        <v>0</v>
      </c>
      <c r="J102" s="164"/>
      <c r="K102" s="155" t="s">
        <v>170</v>
      </c>
      <c r="L102" s="166">
        <v>0.09</v>
      </c>
      <c r="M102" s="165">
        <v>13.109295073001569</v>
      </c>
      <c r="N102" s="165">
        <v>14.015792659813959</v>
      </c>
      <c r="O102" s="165">
        <v>14.922290246626348</v>
      </c>
      <c r="P102" s="165">
        <v>15.828787833438737</v>
      </c>
      <c r="Q102" s="165">
        <v>16.735285420251124</v>
      </c>
    </row>
    <row r="103" spans="2:17" ht="15" customHeight="1" x14ac:dyDescent="0.25">
      <c r="B103" s="151"/>
      <c r="D103" s="162">
        <f t="shared" ref="D103:D104" si="11">D102-0.01</f>
        <v>0.08</v>
      </c>
      <c r="E103" s="163">
        <v>0</v>
      </c>
      <c r="F103" s="163">
        <v>0</v>
      </c>
      <c r="G103" s="163">
        <v>0</v>
      </c>
      <c r="H103" s="163">
        <v>0</v>
      </c>
      <c r="I103" s="163">
        <v>0</v>
      </c>
      <c r="J103" s="164"/>
      <c r="L103" s="162">
        <f t="shared" ref="L103:L104" si="12">L102-0.01</f>
        <v>0.08</v>
      </c>
      <c r="M103" s="165">
        <v>13.620939092050321</v>
      </c>
      <c r="N103" s="165">
        <v>14.566623804204806</v>
      </c>
      <c r="O103" s="165">
        <v>15.512308516359289</v>
      </c>
      <c r="P103" s="165">
        <v>16.457993228513772</v>
      </c>
      <c r="Q103" s="165">
        <v>17.403677940668256</v>
      </c>
    </row>
    <row r="104" spans="2:17" ht="15" customHeight="1" x14ac:dyDescent="0.25">
      <c r="B104" s="151"/>
      <c r="D104" s="168">
        <f t="shared" si="11"/>
        <v>7.0000000000000007E-2</v>
      </c>
      <c r="E104" s="163">
        <v>0</v>
      </c>
      <c r="F104" s="163">
        <v>0</v>
      </c>
      <c r="G104" s="163">
        <v>0</v>
      </c>
      <c r="H104" s="163">
        <v>0</v>
      </c>
      <c r="I104" s="163">
        <v>0</v>
      </c>
      <c r="J104" s="164"/>
      <c r="L104" s="168">
        <f t="shared" si="12"/>
        <v>7.0000000000000007E-2</v>
      </c>
      <c r="M104" s="165">
        <v>14.158848169396451</v>
      </c>
      <c r="N104" s="165">
        <v>15.145802508913432</v>
      </c>
      <c r="O104" s="165">
        <v>16.132756848430404</v>
      </c>
      <c r="P104" s="165">
        <v>17.119711187947381</v>
      </c>
      <c r="Q104" s="165">
        <v>18.106665527464358</v>
      </c>
    </row>
    <row r="105" spans="2:17" x14ac:dyDescent="0.25">
      <c r="J105" s="175"/>
    </row>
    <row r="106" spans="2:17" x14ac:dyDescent="0.25">
      <c r="B106" s="176" t="s">
        <v>174</v>
      </c>
      <c r="C106" s="176"/>
      <c r="D106" s="176"/>
      <c r="E106" s="176"/>
      <c r="G106" s="176" t="s">
        <v>175</v>
      </c>
      <c r="H106" s="176"/>
      <c r="I106" s="176"/>
      <c r="J106" s="177"/>
      <c r="K106" s="176"/>
      <c r="L106" s="176"/>
      <c r="M106" s="176"/>
      <c r="N106" s="176"/>
      <c r="O106" s="176"/>
      <c r="P106" s="176"/>
    </row>
    <row r="107" spans="2:17" x14ac:dyDescent="0.25">
      <c r="J107" s="175"/>
    </row>
    <row r="108" spans="2:17" x14ac:dyDescent="0.25">
      <c r="J108" s="175"/>
    </row>
    <row r="109" spans="2:17" x14ac:dyDescent="0.25">
      <c r="J109" s="175"/>
    </row>
    <row r="110" spans="2:17" x14ac:dyDescent="0.25">
      <c r="J110" s="175"/>
    </row>
    <row r="111" spans="2:17" x14ac:dyDescent="0.25">
      <c r="J111" s="175"/>
    </row>
    <row r="112" spans="2:17" x14ac:dyDescent="0.25">
      <c r="J112" s="175"/>
    </row>
    <row r="113" spans="2:17" x14ac:dyDescent="0.25">
      <c r="J113" s="175"/>
    </row>
    <row r="114" spans="2:17" x14ac:dyDescent="0.25">
      <c r="J114" s="175"/>
    </row>
    <row r="115" spans="2:17" x14ac:dyDescent="0.25">
      <c r="J115" s="175"/>
    </row>
    <row r="116" spans="2:17" x14ac:dyDescent="0.25">
      <c r="J116" s="175"/>
    </row>
    <row r="117" spans="2:17" x14ac:dyDescent="0.25">
      <c r="J117" s="175"/>
    </row>
    <row r="118" spans="2:17" x14ac:dyDescent="0.25">
      <c r="J118" s="175"/>
    </row>
    <row r="119" spans="2:17" x14ac:dyDescent="0.25">
      <c r="J119" s="175"/>
    </row>
    <row r="120" spans="2:17" x14ac:dyDescent="0.25">
      <c r="J120" s="175"/>
      <c r="M120" s="178"/>
    </row>
    <row r="121" spans="2:17" x14ac:dyDescent="0.25">
      <c r="J121" s="175"/>
    </row>
    <row r="122" spans="2:17" x14ac:dyDescent="0.25">
      <c r="J122" s="175"/>
    </row>
    <row r="123" spans="2:17" x14ac:dyDescent="0.25">
      <c r="J123" s="175"/>
    </row>
    <row r="124" spans="2:17" x14ac:dyDescent="0.25">
      <c r="J124" s="175"/>
    </row>
    <row r="125" spans="2:17" x14ac:dyDescent="0.25">
      <c r="J125" s="175"/>
    </row>
    <row r="126" spans="2:17" x14ac:dyDescent="0.25">
      <c r="J126" s="175"/>
    </row>
    <row r="127" spans="2:17" x14ac:dyDescent="0.25">
      <c r="B127" s="179"/>
      <c r="C127" s="180" t="s">
        <v>176</v>
      </c>
      <c r="D127" s="180" t="s">
        <v>177</v>
      </c>
      <c r="E127" s="181" t="s">
        <v>178</v>
      </c>
      <c r="G127" s="179"/>
      <c r="H127" s="182"/>
      <c r="I127" s="182"/>
      <c r="J127" s="183"/>
      <c r="K127" s="182"/>
      <c r="L127" s="182"/>
      <c r="M127" s="182"/>
      <c r="N127" s="182"/>
      <c r="O127" s="180" t="s">
        <v>176</v>
      </c>
      <c r="P127" s="180" t="s">
        <v>177</v>
      </c>
      <c r="Q127" s="181" t="s">
        <v>178</v>
      </c>
    </row>
    <row r="128" spans="2:17" x14ac:dyDescent="0.25">
      <c r="B128" s="184" t="str">
        <f>"DCF Value at "&amp;TEXT(E99,"0.0x")&amp;"-"&amp;TEXT(I99,"0.0x")&amp;" Exit EBITDA Range at "&amp;TEXT(D102,"0.0%")&amp;" WACC"</f>
        <v>DCF Value at 11.0x-15.0x Exit EBITDA Range at 9.0% WACC</v>
      </c>
      <c r="C128" s="185">
        <f>E102</f>
        <v>0</v>
      </c>
      <c r="D128" s="185">
        <f>E128-C128</f>
        <v>0</v>
      </c>
      <c r="E128" s="186">
        <f>I102</f>
        <v>0</v>
      </c>
      <c r="G128" s="184" t="str">
        <f>"LTM EBITDA Purchase Multiple at "&amp;TEXT(M90,"0.0%")&amp;"-"&amp;TEXT(Q90,"0.0%")&amp;" Perpetuity Growth at "&amp;TEXT(L93,"0.0%")&amp;" WACC"</f>
        <v>LTM EBITDA Purchase Multiple at 2.0%-4.0% Perpetuity Growth at 9.0% WACC</v>
      </c>
      <c r="J128" s="175"/>
      <c r="O128" s="187">
        <f>M93</f>
        <v>12.832501802687379</v>
      </c>
      <c r="P128" s="187">
        <f>Q128-O128</f>
        <v>4.144000549505126</v>
      </c>
      <c r="Q128" s="188">
        <f>Q93</f>
        <v>16.976502352192504</v>
      </c>
    </row>
    <row r="129" spans="2:17" x14ac:dyDescent="0.25">
      <c r="B129" s="189" t="str">
        <f>"DCF Value at "&amp;TEXT(E90,"0.0%")&amp;"-"&amp;TEXT(I90,"0.0%")&amp;" Perpetuity Range at "&amp;TEXT(D102,"0.0%")&amp;" WACC"</f>
        <v>DCF Value at 2.0%-4.0% Perpetuity Range at 9.0% WACC</v>
      </c>
      <c r="C129" s="185">
        <f>E93</f>
        <v>0</v>
      </c>
      <c r="D129" s="185">
        <f>E129-C129</f>
        <v>0</v>
      </c>
      <c r="E129" s="186">
        <f>I93</f>
        <v>0</v>
      </c>
      <c r="G129" s="189" t="str">
        <f>"LTM EBITDA Purchase Multiple at "&amp;TEXT(M102,"0.0x")&amp;"-"&amp;TEXT(Q102,"0.0x")&amp;" Exit EBITDA Multiple at "&amp;TEXT(L102,"0.0%")&amp;" WACC"</f>
        <v>LTM EBITDA Purchase Multiple at 13.1x-16.7x Exit EBITDA Multiple at 9.0% WACC</v>
      </c>
      <c r="J129" s="175"/>
      <c r="O129" s="187">
        <f>M102</f>
        <v>13.109295073001569</v>
      </c>
      <c r="P129" s="187">
        <f>Q129-O129</f>
        <v>3.6259903472495552</v>
      </c>
      <c r="Q129" s="188">
        <f>Q102</f>
        <v>16.735285420251124</v>
      </c>
    </row>
    <row r="130" spans="2:17" x14ac:dyDescent="0.25">
      <c r="B130" s="190" t="s">
        <v>179</v>
      </c>
      <c r="C130" s="191">
        <v>169.5</v>
      </c>
      <c r="D130" s="195">
        <f>E130-C130</f>
        <v>158.35000000000002</v>
      </c>
      <c r="E130" s="192">
        <v>327.85</v>
      </c>
      <c r="G130" s="190" t="str">
        <f>"LTM EBITDA Purchase Multiple at "&amp;TEXT(L104,"0.0%")&amp;"-"&amp;TEXT(L100,"0.0%")&amp;" WACC at "&amp;TEXT(O99,"0.0x")&amp;" Exit EBITDA"</f>
        <v>LTM EBITDA Purchase Multiple at 7.0%-11.0% WACC at 13.0x Exit EBITDA</v>
      </c>
      <c r="H130" s="193"/>
      <c r="I130" s="193"/>
      <c r="J130" s="194"/>
      <c r="K130" s="193"/>
      <c r="L130" s="193"/>
      <c r="M130" s="193"/>
      <c r="N130" s="193"/>
      <c r="O130" s="195">
        <f>O100</f>
        <v>13.826590996388775</v>
      </c>
      <c r="P130" s="195">
        <f>Q130-O130</f>
        <v>2.3061658520416284</v>
      </c>
      <c r="Q130" s="196">
        <f>O104</f>
        <v>16.132756848430404</v>
      </c>
    </row>
    <row r="131" spans="2:17" x14ac:dyDescent="0.25">
      <c r="J131" s="175"/>
    </row>
    <row r="132" spans="2:17" x14ac:dyDescent="0.25">
      <c r="J132" s="175"/>
    </row>
  </sheetData>
  <conditionalFormatting sqref="E91:J95 E100:J104">
    <cfRule type="cellIs" dxfId="0" priority="1" operator="lessThan">
      <formula>$C$7</formula>
    </cfRule>
  </conditionalFormatting>
  <dataValidations count="1">
    <dataValidation type="list" allowBlank="1" showInputMessage="1" showErrorMessage="1" sqref="H7" xr:uid="{C2C609ED-FF37-456B-9CA2-74129F6A3B79}">
      <formula1>"0,1"</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Model Empty</vt:lpstr>
      <vt:lpstr>Balance Sheet</vt:lpstr>
      <vt:lpstr>Sources_Uses Empty</vt:lpstr>
      <vt:lpstr>Pro Forma Cap Table</vt:lpstr>
      <vt:lpstr>Financials </vt:lpstr>
      <vt:lpstr>Simple DCF Empty</vt:lpstr>
      <vt:lpstr>Simple DCF Done</vt:lpstr>
      <vt:lpstr>WACC Empty</vt:lpstr>
      <vt:lpstr>WACC Done</vt:lpstr>
      <vt:lpstr>DCF 1-Pager</vt:lpstr>
      <vt:lpstr>2019 FSM Update Complete</vt:lpstr>
      <vt:lpstr>Integrated DCF Empty</vt:lpstr>
      <vt:lpstr>Integrated DCF</vt:lpstr>
      <vt:lpstr>'2019 FSM Update Complete'!Print_Area</vt:lpstr>
      <vt:lpstr>'Balance Sheet'!Print_Area</vt:lpstr>
      <vt:lpstr>'Model Empty'!Print_Area</vt:lpstr>
      <vt:lpstr>'Sources_Uses Empty'!Print_Area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 hoxholli</dc:creator>
  <cp:lastModifiedBy>dean hoxholli</cp:lastModifiedBy>
  <dcterms:created xsi:type="dcterms:W3CDTF">2023-04-13T11:36:18Z</dcterms:created>
  <dcterms:modified xsi:type="dcterms:W3CDTF">2023-04-14T02:13:21Z</dcterms:modified>
</cp:coreProperties>
</file>